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ício" sheetId="1" state="visible" r:id="rId1"/>
    <sheet name="Admissão" sheetId="2" state="visible" r:id="rId2"/>
    <sheet name="Exames ASO" sheetId="3" state="visible" r:id="rId3"/>
    <sheet name="Integração" sheetId="4" state="visible" r:id="rId4"/>
    <sheet name="Férias" sheetId="5" state="visible" r:id="rId5"/>
    <sheet name="Banco de Horas" sheetId="6" state="visible" r:id="rId6"/>
    <sheet name="Fechamento Ponto-Folha" sheetId="7" state="visible" r:id="rId7"/>
    <sheet name="Desligamento" sheetId="8" state="visible" r:id="rId8"/>
    <sheet name="Afastamentos INSS" sheetId="9" state="visible" r:id="rId9"/>
    <sheet name="Benefícios" sheetId="10" state="visible" r:id="rId10"/>
    <sheet name="Atendimento" sheetId="11" state="visible" r:id="rId11"/>
  </sheets>
  <definedNames>
    <definedName name="Feriados">'Atendimento'!$M$18:$M$31</definedName>
    <definedName name="_xlnm._FilterDatabase" localSheetId="1" hidden="1">'Admissão'!$A$5:$Q$25</definedName>
    <definedName name="_xlnm.Print_Titles" localSheetId="1">'Admissão'!$5:$5</definedName>
    <definedName name="_xlnm._FilterDatabase" localSheetId="2" hidden="1">'Exames ASO'!$A$5:$I$25</definedName>
    <definedName name="_xlnm.Print_Titles" localSheetId="2">'Exames ASO'!$5:$5</definedName>
    <definedName name="_xlnm._FilterDatabase" localSheetId="3" hidden="1">'Integração'!$A$7:$I$21</definedName>
    <definedName name="_xlnm.Print_Titles" localSheetId="3">'Integração'!$7:$7</definedName>
    <definedName name="_xlnm._FilterDatabase" localSheetId="4" hidden="1">'Férias'!$A$5:$P$25</definedName>
    <definedName name="_xlnm.Print_Titles" localSheetId="4">'Férias'!$5:$5</definedName>
    <definedName name="_xlnm._FilterDatabase" localSheetId="5" hidden="1">'Banco de Horas'!$A$6:$N$26</definedName>
    <definedName name="_xlnm.Print_Titles" localSheetId="5">'Banco de Horas'!$6:$6</definedName>
    <definedName name="_xlnm._FilterDatabase" localSheetId="6" hidden="1">'Fechamento Ponto-Folha'!$A$8:$H$22</definedName>
    <definedName name="_xlnm.Print_Titles" localSheetId="6">'Fechamento Ponto-Folha'!$8:$8</definedName>
    <definedName name="_xlnm._FilterDatabase" localSheetId="7" hidden="1">'Desligamento'!$A$5:$T$25</definedName>
    <definedName name="_xlnm.Print_Titles" localSheetId="7">'Desligamento'!$5:$5</definedName>
    <definedName name="_xlnm._FilterDatabase" localSheetId="8" hidden="1">'Afastamentos INSS'!$A$5:$P$25</definedName>
    <definedName name="_xlnm.Print_Titles" localSheetId="8">'Afastamentos INSS'!$5:$5</definedName>
    <definedName name="_xlnm._FilterDatabase" localSheetId="9" hidden="1">'Benefícios'!$A$5:$M$25</definedName>
    <definedName name="_xlnm.Print_Titles" localSheetId="9">'Benefícios'!$5:$5</definedName>
    <definedName name="_xlnm._FilterDatabase" localSheetId="10" hidden="1">'Atendimento'!$A$5:$K$25</definedName>
    <definedName name="_xlnm.Print_Titles" localSheetId="10">'Atendimento'!$5:$5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yyyy-mm-dd"/>
    <numFmt numFmtId="166" formatCode="&quot;D+&quot;0"/>
    <numFmt numFmtId="167" formatCode="mm/yyyy"/>
    <numFmt numFmtId="168" formatCode="&quot;D+&quot;0&quot; do fechamento&quot;;&quot;D-&quot;0&quot; do fechamento&quot;;&quot;Dia do fechamento&quot;"/>
    <numFmt numFmtId="169" formatCode="&quot;R$&quot; #,##0.00"/>
  </numFmts>
  <fonts count="20">
    <font>
      <name val="Calibri"/>
      <family val="2"/>
      <color theme="1"/>
      <sz val="11"/>
      <scheme val="minor"/>
    </font>
    <font>
      <name val="Arial"/>
      <b val="1"/>
      <color rgb="0018212B"/>
      <sz val="16"/>
    </font>
    <font>
      <name val="Arial"/>
      <color rgb="004E5B68"/>
      <sz val="10"/>
    </font>
    <font>
      <name val="Arial"/>
      <b val="1"/>
      <color rgb="004E5B68"/>
      <sz val="10"/>
    </font>
    <font>
      <name val="Arial"/>
      <b val="1"/>
      <color rgb="0018212B"/>
      <sz val="10"/>
    </font>
    <font>
      <name val="Arial"/>
      <color rgb="003346B0"/>
      <sz val="9"/>
      <u val="single"/>
    </font>
    <font>
      <name val="Arial"/>
      <i val="1"/>
      <color rgb="004E5B68"/>
      <sz val="8"/>
    </font>
    <font>
      <name val="Arial"/>
      <b val="1"/>
      <color rgb="00FFFFFF"/>
      <sz val="10"/>
    </font>
    <font>
      <name val="Arial"/>
      <i val="1"/>
      <color rgb="003346B0"/>
      <sz val="8"/>
    </font>
    <font>
      <name val="Arial"/>
      <color rgb="0018212B"/>
      <sz val="10"/>
    </font>
    <font>
      <name val="Arial"/>
      <b val="1"/>
      <color rgb="003346B0"/>
      <sz val="11"/>
    </font>
    <font>
      <name val="Arial"/>
      <color rgb="004E5B68"/>
      <sz val="9"/>
    </font>
    <font>
      <name val="Arial"/>
      <b val="1"/>
      <color rgb="0018212B"/>
      <sz val="12"/>
    </font>
    <font>
      <name val="Arial"/>
      <b val="1"/>
      <color rgb="003346B0"/>
      <sz val="12"/>
    </font>
    <font>
      <name val="Arial"/>
      <b val="1"/>
      <color rgb="003346B0"/>
      <sz val="10"/>
      <u val="single"/>
    </font>
    <font>
      <name val="Arial"/>
      <b val="1"/>
      <color rgb="0018212B"/>
      <sz val="11"/>
    </font>
    <font>
      <name val="Arial"/>
      <b val="1"/>
      <color rgb="001E6B47"/>
      <sz val="10"/>
    </font>
    <font>
      <name val="Arial"/>
      <b val="1"/>
      <color rgb="008A5A00"/>
      <sz val="10"/>
    </font>
    <font>
      <name val="Arial"/>
      <b val="1"/>
      <color rgb="00A3301A"/>
      <sz val="10"/>
    </font>
    <font>
      <name val="Arial"/>
      <i val="1"/>
      <color rgb="004E5B68"/>
      <sz val="9"/>
    </font>
  </fonts>
  <fills count="8">
    <fill>
      <patternFill/>
    </fill>
    <fill>
      <patternFill patternType="gray125"/>
    </fill>
    <fill>
      <patternFill patternType="solid">
        <fgColor rgb="003346B0"/>
        <bgColor rgb="003346B0"/>
      </patternFill>
    </fill>
    <fill>
      <patternFill patternType="solid">
        <fgColor rgb="00EEF1FB"/>
        <bgColor rgb="00EEF1FB"/>
      </patternFill>
    </fill>
    <fill>
      <patternFill patternType="solid">
        <fgColor rgb="00DFF3E8"/>
        <bgColor rgb="00DFF3E8"/>
      </patternFill>
    </fill>
    <fill>
      <patternFill patternType="solid">
        <fgColor rgb="00FFF1CC"/>
        <bgColor rgb="00FFF1CC"/>
      </patternFill>
    </fill>
    <fill>
      <patternFill patternType="solid">
        <fgColor rgb="00FDE1DA"/>
        <bgColor rgb="00FDE1DA"/>
      </patternFill>
    </fill>
    <fill>
      <patternFill patternType="solid">
        <fgColor rgb="00ECEEF1"/>
        <bgColor rgb="00ECEEF1"/>
      </patternFill>
    </fill>
  </fills>
  <borders count="11">
    <border>
      <left/>
      <right/>
      <top/>
      <bottom/>
      <diagonal/>
    </border>
    <border>
      <left style="thin">
        <color rgb="00FFFFFF"/>
      </left>
      <right style="thin">
        <color rgb="00FFFFFF"/>
      </right>
    </border>
    <border>
      <left style="thin">
        <color rgb="00DDE2E8"/>
      </left>
      <right style="thin">
        <color rgb="00DDE2E8"/>
      </right>
      <top style="thin">
        <color rgb="00DDE2E8"/>
      </top>
      <bottom style="thin">
        <color rgb="00DDE2E8"/>
      </bottom>
    </border>
    <border>
      <left style="thin">
        <color rgb="003346B0"/>
      </left>
      <right style="thin">
        <color rgb="003346B0"/>
      </right>
      <top style="thin">
        <color rgb="003346B0"/>
      </top>
      <bottom style="thin">
        <color rgb="003346B0"/>
      </bottom>
    </border>
    <border>
      <left/>
      <right/>
      <top style="thin">
        <color rgb="003346B0"/>
      </top>
      <bottom/>
      <diagonal/>
    </border>
    <border>
      <left/>
      <right style="thin">
        <color rgb="003346B0"/>
      </right>
      <top style="thin">
        <color rgb="003346B0"/>
      </top>
      <bottom/>
      <diagonal/>
    </border>
    <border>
      <left/>
      <right/>
      <top style="thin">
        <color rgb="003346B0"/>
      </top>
      <bottom style="thin">
        <color rgb="003346B0"/>
      </bottom>
      <diagonal/>
    </border>
    <border>
      <left/>
      <right style="thin">
        <color rgb="003346B0"/>
      </right>
      <top style="thin">
        <color rgb="003346B0"/>
      </top>
      <bottom style="thin">
        <color rgb="003346B0"/>
      </bottom>
      <diagonal/>
    </border>
    <border>
      <top style="medium">
        <color rgb="003346B0"/>
      </top>
    </border>
    <border>
      <top style="medium">
        <color rgb="003346B0"/>
      </top>
      <bottom style="thin">
        <color rgb="00DDE2E8"/>
      </bottom>
    </border>
    <border>
      <bottom style="thin">
        <color rgb="00DDE2E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applyAlignment="1" pivotButton="0" quotePrefix="0" xfId="0">
      <alignment horizontal="left"/>
    </xf>
    <xf numFmtId="0" fontId="13" fillId="0" borderId="0" pivotButton="0" quotePrefix="0" xfId="0"/>
    <xf numFmtId="0" fontId="9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left" vertical="center" indent="1"/>
    </xf>
    <xf numFmtId="0" fontId="7" fillId="2" borderId="0" applyAlignment="1" pivotButton="0" quotePrefix="0" xfId="0">
      <alignment horizontal="center" vertical="center"/>
    </xf>
    <xf numFmtId="0" fontId="14" fillId="0" borderId="10" applyAlignment="1" pivotButton="0" quotePrefix="0" xfId="0">
      <alignment vertical="center" indent="1"/>
    </xf>
    <xf numFmtId="0" fontId="9" fillId="0" borderId="10" applyAlignment="1" pivotButton="0" quotePrefix="0" xfId="0">
      <alignment vertical="center" wrapText="1" indent="1"/>
    </xf>
    <xf numFmtId="1" fontId="15" fillId="0" borderId="10" applyAlignment="1" pivotButton="0" quotePrefix="0" xfId="0">
      <alignment horizontal="center" vertical="center"/>
    </xf>
    <xf numFmtId="0" fontId="4" fillId="0" borderId="8" applyAlignment="1" pivotButton="0" quotePrefix="0" xfId="0">
      <alignment indent="1"/>
    </xf>
    <xf numFmtId="0" fontId="0" fillId="0" borderId="8" pivotButton="0" quotePrefix="0" xfId="0"/>
    <xf numFmtId="0" fontId="15" fillId="0" borderId="8" applyAlignment="1" pivotButton="0" quotePrefix="0" xfId="0">
      <alignment horizontal="center"/>
    </xf>
    <xf numFmtId="0" fontId="16" fillId="4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 indent="1"/>
    </xf>
    <xf numFmtId="0" fontId="17" fillId="5" borderId="0" applyAlignment="1" pivotButton="0" quotePrefix="0" xfId="0">
      <alignment vertical="center" indent="1"/>
    </xf>
    <xf numFmtId="0" fontId="18" fillId="6" borderId="0" applyAlignment="1" pivotButton="0" quotePrefix="0" xfId="0">
      <alignment vertical="center" indent="1"/>
    </xf>
    <xf numFmtId="0" fontId="3" fillId="7" borderId="0" applyAlignment="1" pivotButton="0" quotePrefix="0" xfId="0">
      <alignment vertical="center" indent="1"/>
    </xf>
    <xf numFmtId="0" fontId="19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bottom"/>
    </xf>
    <xf numFmtId="0" fontId="8" fillId="0" borderId="0" applyAlignment="1" pivotButton="0" quotePrefix="0" xfId="0">
      <alignment horizontal="center" vertical="bottom"/>
    </xf>
    <xf numFmtId="0" fontId="7" fillId="2" borderId="1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/>
    </xf>
    <xf numFmtId="164" fontId="9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9" fontId="9" fillId="0" borderId="2" applyAlignment="1" pivotButton="0" quotePrefix="0" xfId="0">
      <alignment horizontal="center" vertical="center"/>
    </xf>
    <xf numFmtId="1" fontId="9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4" fillId="3" borderId="3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164" fontId="4" fillId="3" borderId="3" applyAlignment="1" pivotButton="0" quotePrefix="0" xfId="0">
      <alignment horizontal="center" vertical="center"/>
    </xf>
    <xf numFmtId="166" fontId="9" fillId="0" borderId="2" applyAlignment="1" pivotButton="0" quotePrefix="0" xfId="0">
      <alignment horizontal="center" vertical="center"/>
    </xf>
    <xf numFmtId="167" fontId="4" fillId="3" borderId="3" applyAlignment="1" pivotButton="0" quotePrefix="0" xfId="0">
      <alignment horizontal="center" vertical="center"/>
    </xf>
    <xf numFmtId="2" fontId="9" fillId="0" borderId="2" applyAlignment="1" pivotButton="0" quotePrefix="0" xfId="0">
      <alignment horizontal="center" vertical="center"/>
    </xf>
    <xf numFmtId="9" fontId="12" fillId="3" borderId="0" applyAlignment="1" pivotButton="0" quotePrefix="0" xfId="0">
      <alignment horizontal="center" vertical="center"/>
    </xf>
    <xf numFmtId="0" fontId="9" fillId="0" borderId="2" applyAlignment="1" pivotButton="0" quotePrefix="0" xfId="0">
      <alignment horizontal="left" vertical="center" wrapText="1"/>
    </xf>
    <xf numFmtId="168" fontId="9" fillId="0" borderId="2" applyAlignment="1" pivotButton="0" quotePrefix="0" xfId="0">
      <alignment horizontal="center" vertical="center"/>
    </xf>
    <xf numFmtId="169" fontId="9" fillId="0" borderId="2" applyAlignment="1" pivotButton="0" quotePrefix="0" xfId="0">
      <alignment horizontal="right" vertical="center"/>
    </xf>
    <xf numFmtId="0" fontId="4" fillId="0" borderId="8" pivotButton="0" quotePrefix="0" xfId="0"/>
    <xf numFmtId="169" fontId="4" fillId="0" borderId="8" applyAlignment="1" pivotButton="0" quotePrefix="0" xfId="0">
      <alignment horizontal="right"/>
    </xf>
    <xf numFmtId="0" fontId="7" fillId="2" borderId="0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/>
    </xf>
    <xf numFmtId="0" fontId="9" fillId="0" borderId="2" applyAlignment="1" pivotButton="0" quotePrefix="0" xfId="0">
      <alignment horizontal="center" vertical="center"/>
    </xf>
    <xf numFmtId="9" fontId="9" fillId="0" borderId="2" applyAlignment="1" pivotButton="0" quotePrefix="0" xfId="0">
      <alignment horizontal="center" vertical="center"/>
    </xf>
    <xf numFmtId="0" fontId="4" fillId="0" borderId="9" applyAlignment="1" pivotButton="0" quotePrefix="0" xfId="0">
      <alignment horizontal="left" vertical="center"/>
    </xf>
    <xf numFmtId="0" fontId="4" fillId="0" borderId="9" applyAlignment="1" pivotButton="0" quotePrefix="0" xfId="0">
      <alignment horizontal="center" vertical="center"/>
    </xf>
    <xf numFmtId="9" fontId="4" fillId="0" borderId="9" applyAlignment="1" pivotButton="0" quotePrefix="0" xfId="0">
      <alignment horizontal="center" vertical="center"/>
    </xf>
    <xf numFmtId="164" fontId="9" fillId="0" borderId="2" applyAlignment="1" pivotButton="0" quotePrefix="0" xfId="0">
      <alignment horizontal="center"/>
    </xf>
    <xf numFmtId="0" fontId="9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dxfs count="7">
    <dxf>
      <font>
        <b val="1"/>
        <color rgb="00A3301A"/>
      </font>
      <fill>
        <patternFill patternType="solid">
          <fgColor rgb="00FDE1DA"/>
          <bgColor rgb="00FDE1DA"/>
        </patternFill>
      </fill>
    </dxf>
    <dxf>
      <font>
        <b val="1"/>
        <color rgb="008A5A00"/>
      </font>
      <fill>
        <patternFill patternType="solid">
          <fgColor rgb="00FFF1CC"/>
          <bgColor rgb="00FFF1CC"/>
        </patternFill>
      </fill>
    </dxf>
    <dxf>
      <font>
        <b val="1"/>
        <color rgb="001E6B47"/>
      </font>
      <fill>
        <patternFill patternType="solid">
          <fgColor rgb="00DFF3E8"/>
          <bgColor rgb="00DFF3E8"/>
        </patternFill>
      </fill>
    </dxf>
    <dxf>
      <font>
        <color rgb="001E6B47"/>
      </font>
      <fill>
        <patternFill patternType="solid">
          <fgColor rgb="00DFF3E8"/>
          <bgColor rgb="00DFF3E8"/>
        </patternFill>
      </fill>
    </dxf>
    <dxf>
      <font>
        <color rgb="008A5A00"/>
      </font>
      <fill>
        <patternFill patternType="solid">
          <fgColor rgb="00FFF1CC"/>
          <bgColor rgb="00FFF1CC"/>
        </patternFill>
      </fill>
    </dxf>
    <dxf>
      <font>
        <color rgb="004E5B68"/>
      </font>
      <fill>
        <patternFill patternType="solid">
          <fgColor rgb="00ECEEF1"/>
          <bgColor rgb="00ECEEF1"/>
        </patternFill>
      </fill>
    </dxf>
    <dxf>
      <fill>
        <patternFill patternType="solid">
          <fgColor rgb="00F3F5F7"/>
          <bgColor rgb="00F3F5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212B"/>
    <outlinePr summaryBelow="1" summaryRight="1"/>
    <pageSetUpPr fitToPage="1"/>
  </sheetPr>
  <dimension ref="B1:E32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92" customWidth="1" min="3" max="3"/>
    <col width="12" customWidth="1" min="4" max="4"/>
    <col width="12" customWidth="1" min="5" max="5"/>
  </cols>
  <sheetData>
    <row r="1" ht="30" customHeight="1">
      <c r="B1" s="1" t="inlineStr">
        <is>
          <t>Kit de Rotinas de DP — Filial</t>
        </is>
      </c>
    </row>
    <row r="2">
      <c r="B2" s="2" t="inlineStr">
        <is>
          <t>Modelo de portfólio · João Victor Soares · dados fictícios</t>
        </is>
      </c>
    </row>
    <row r="3">
      <c r="B3" s="3" t="inlineStr">
        <is>
          <t>Hoje:</t>
        </is>
      </c>
      <c r="C3" s="4">
        <f>TODAY()</f>
        <v/>
      </c>
    </row>
    <row r="5" ht="22" customHeight="1">
      <c r="B5" s="5" t="inlineStr">
        <is>
          <t>Como usar</t>
        </is>
      </c>
    </row>
    <row r="6" ht="31" customHeight="1">
      <c r="B6" s="6" t="inlineStr">
        <is>
          <t>1. Cada aba controla uma rotina de RH/DP da filial. Colunas marcadas como “preencher” recebem dados; as marcadas como “automático” têm fórmulas e não devem ser digitadas.</t>
        </is>
      </c>
    </row>
    <row r="7" ht="17" customHeight="1">
      <c r="B7" s="6" t="inlineStr">
        <is>
          <t>2. Os alertas comparam as datas com HOJE() e se atualizam sozinhos sempre que o arquivo é aberto — não há macros nem atualização manual.</t>
        </is>
      </c>
    </row>
    <row r="8" ht="31" customHeight="1">
      <c r="B8" s="6" t="inlineStr">
        <is>
          <t>3. Use os filtros do cabeçalho para ver só pendências, itens vencidos ou um colaborador. As colunas “Em atraso” e “Em atenção” abaixo resumem o que exige ação em cada aba.</t>
        </is>
      </c>
    </row>
    <row r="9" ht="17" customHeight="1">
      <c r="B9" s="6" t="inlineStr">
        <is>
          <t>4. Para incluir registros, use as linhas em branco já formatadas abaixo dos exemplos (fórmulas e listas suspensas prontas).</t>
        </is>
      </c>
    </row>
    <row r="10" ht="31" customHeight="1">
      <c r="B10" s="6" t="inlineStr">
        <is>
          <t>5. Prazos legais citados (CLT, NR-7, Lei 8.213/1991, Lei 7.418/1985) são referência geral: confirme sempre a convenção coletiva (CCT) e a política interna da empresa.</t>
        </is>
      </c>
    </row>
    <row r="12" ht="22" customHeight="1">
      <c r="B12" s="5" t="inlineStr">
        <is>
          <t>Abas do kit</t>
        </is>
      </c>
    </row>
    <row r="13" ht="24" customHeight="1">
      <c r="B13" s="7" t="inlineStr">
        <is>
          <t>Aba</t>
        </is>
      </c>
      <c r="C13" s="7" t="inlineStr">
        <is>
          <t>O que controla</t>
        </is>
      </c>
      <c r="D13" s="8" t="inlineStr">
        <is>
          <t>Em atraso</t>
        </is>
      </c>
      <c r="E13" s="8" t="inlineStr">
        <is>
          <t>Em atenção</t>
        </is>
      </c>
    </row>
    <row r="14" ht="30" customHeight="1">
      <c r="B14" s="9">
        <f>HYPERLINK("#'Admissão'!A1","Admissão")</f>
        <v/>
      </c>
      <c r="C14" s="10" t="inlineStr">
        <is>
          <t>Checklist de admissão por colaborador — documentos, ASO, contrato, eSocial e integração — com % concluído e alerta pela data de início.</t>
        </is>
      </c>
      <c r="D14" s="11">
        <f>COUNTIF('Admissão'!$P$6:$P$25,"Atrasado")</f>
        <v/>
      </c>
      <c r="E14" s="11">
        <f>COUNTIF('Admissão'!$P$6:$P$25,"Atenção*")+COUNTIF('Admissão'!$P$6:$P$25,"Informar*")</f>
        <v/>
      </c>
    </row>
    <row r="15" ht="30" customHeight="1">
      <c r="B15" s="9">
        <f>HYPERLINK("#'Exames ASO'!A1","Exames ASO")</f>
        <v/>
      </c>
      <c r="C15" s="10" t="inlineStr">
        <is>
          <t>Exames ocupacionais com próximo vencimento pela periodicidade do PCMSO (NR-7) e alerta de 30 dias.</t>
        </is>
      </c>
      <c r="D15" s="11">
        <f>COUNTIF('Exames ASO'!$H$6:$H$25,"Vencido")</f>
        <v/>
      </c>
      <c r="E15" s="11">
        <f>COUNTIF('Exames ASO'!$H$6:$H$25,"Vence*")+COUNTIF('Exames ASO'!$H$6:$H$25,"Informar*")</f>
        <v/>
      </c>
    </row>
    <row r="16" ht="30" customHeight="1">
      <c r="B16" s="9">
        <f>HYPERLINK("#'Integração'!A1","Integração")</f>
        <v/>
      </c>
      <c r="C16" s="10" t="inlineStr">
        <is>
          <t>Roteiro de onboarding (Dia 1, primeira semana, 30, 45, 60 e 90 dias) com datas calculadas a partir da data de início.</t>
        </is>
      </c>
      <c r="D16" s="11">
        <f>COUNTIF('Integração'!$H$8:$H$21,"Atrasado")</f>
        <v/>
      </c>
      <c r="E16" s="11">
        <f>COUNTIF('Integração'!$H$8:$H$21,"Atenção*")+COUNTIF('Integração'!$H$8:$H$21,"Informar*")</f>
        <v/>
      </c>
    </row>
    <row r="17" ht="30" customHeight="1">
      <c r="B17" s="9">
        <f>HYPERLINK("#'Férias'!A1","Férias")</f>
        <v/>
      </c>
      <c r="C17" s="10" t="inlineStr">
        <is>
          <t>Período aquisitivo, limite concessivo, dias de direito (art. 130) e prazos de aviso e pagamento das férias.</t>
        </is>
      </c>
      <c r="D17" s="11">
        <f>COUNTIF('Férias'!$O$6:$O$25,"Vencida*")+COUNTIF('Férias'!$O$6:$O$25,"Fora do prazo*")</f>
        <v/>
      </c>
      <c r="E17" s="11">
        <f>COUNTIF('Férias'!$O$6:$O$25,"Crítica*")</f>
        <v/>
      </c>
    </row>
    <row r="18" ht="30" customHeight="1">
      <c r="B18" s="9">
        <f>HYPERLINK("#'Banco de Horas'!A1","Banco de Horas")</f>
        <v/>
      </c>
      <c r="C18" s="10" t="inlineStr">
        <is>
          <t>Saldo mensal por colaborador e vencimento da compensação (6 ou 12 meses, conforme o tipo de acordo).</t>
        </is>
      </c>
      <c r="D18" s="11">
        <f>COUNTIF('Banco de Horas'!$M$7:$M$26,"Vencido*")</f>
        <v/>
      </c>
      <c r="E18" s="11">
        <f>COUNTIF('Banco de Horas'!$M$7:$M$26,"Vence *")+COUNTIF('Banco de Horas'!$M$7:$M$26,"Saldo*")+COUNTIF('Banco de Horas'!$M$7:$M$26,"Informar*")</f>
        <v/>
      </c>
    </row>
    <row r="19" ht="30" customHeight="1">
      <c r="B19" s="9">
        <f>HYPERLINK("#'Fechamento Ponto-Folha'!A1","Fechamento Ponto-Folha")</f>
        <v/>
      </c>
      <c r="C19" s="10" t="inlineStr">
        <is>
          <t>Checklist mensal da competência, do tratamento do ponto ao eSocial, com datas-limite em dias úteis e % concluído.</t>
        </is>
      </c>
      <c r="D19" s="11">
        <f>COUNTIF('Fechamento Ponto-Folha'!$G$9:$G$22,"Atrasado")</f>
        <v/>
      </c>
      <c r="E19" s="11">
        <f>COUNTIF('Fechamento Ponto-Folha'!$G$9:$G$22,"Atenção*")</f>
        <v/>
      </c>
    </row>
    <row r="20" ht="30" customHeight="1">
      <c r="B20" s="9">
        <f>HYPERLINK("#'Desligamento'!A1","Desligamento")</f>
        <v/>
      </c>
      <c r="C20" s="10" t="inlineStr">
        <is>
          <t>Checklist de rescisão por tipo de desligamento, com prazo de 10 dias para pagamento das verbas (art. 477, §6º).</t>
        </is>
      </c>
      <c r="D20" s="11">
        <f>COUNTIF('Desligamento'!$S$6:$S$25,"Atrasado*")</f>
        <v/>
      </c>
      <c r="E20" s="11">
        <f>COUNTIF('Desligamento'!$S$6:$S$25,"Atenção*")+COUNTIF('Desligamento'!$S$6:$S$25,"Informar*")</f>
        <v/>
      </c>
    </row>
    <row r="21" ht="30" customHeight="1">
      <c r="B21" s="9">
        <f>HYPERLINK("#'Afastamentos INSS'!A1","Afastamentos INSS")</f>
        <v/>
      </c>
      <c r="C21" s="10" t="inlineStr">
        <is>
          <t>Afastamentos: dias pagos pela empresa, início do benefício no 16º dia, exame de retorno, CAT, S-2230 e estabilidade.</t>
        </is>
      </c>
      <c r="D21" s="11">
        <f>COUNTIF('Afastamentos INSS'!$O$6:$O$25,"Emitir CAT*")</f>
        <v/>
      </c>
      <c r="E21" s="11">
        <f>COUNTIF('Afastamentos INSS'!$N$6:$N$25,"Retorno em até 7 dias")</f>
        <v/>
      </c>
    </row>
    <row r="22" ht="30" customHeight="1">
      <c r="B22" s="9">
        <f>HYPERLINK("#'Benefícios'!A1","Benefícios")</f>
        <v/>
      </c>
      <c r="C22" s="10" t="inlineStr">
        <is>
          <t>VT com desconto de até 6% (Lei 7.418/85) e coparticipação da empresa, VA/VR, plano de saúde e seguro de vida.</t>
        </is>
      </c>
      <c r="D22" s="11" t="inlineStr">
        <is>
          <t>—</t>
        </is>
      </c>
      <c r="E22" s="11">
        <f>COUNTIF('Benefícios'!$L$6:$L$25,"Coletar*")+COUNTIF('Benefícios'!$L$6:$L$25,"Informar*")</f>
        <v/>
      </c>
    </row>
    <row r="23" ht="30" customHeight="1">
      <c r="B23" s="9">
        <f>HYPERLINK("#'Atendimento'!A1","Atendimento")</f>
        <v/>
      </c>
      <c r="C23" s="10" t="inlineStr">
        <is>
          <t>Registro de chamados de colaboradores e gestores, com SLA em dias úteis e resumo por categoria (% dentro do SLA).</t>
        </is>
      </c>
      <c r="D23" s="11">
        <f>COUNTIF('Atendimento'!$K$6:$K$25,"SLA estourado")</f>
        <v/>
      </c>
      <c r="E23" s="11">
        <f>COUNTIF('Atendimento'!$K$6:$K$25,"Vence hoje")</f>
        <v/>
      </c>
    </row>
    <row r="24">
      <c r="B24" s="12" t="inlineStr">
        <is>
          <t>Total</t>
        </is>
      </c>
      <c r="C24" s="13" t="n"/>
      <c r="D24" s="14">
        <f>SUM(D14:D23)</f>
        <v/>
      </c>
      <c r="E24" s="14">
        <f>SUM(E14:E23)</f>
        <v/>
      </c>
    </row>
    <row r="26" ht="22" customHeight="1">
      <c r="B26" s="5" t="inlineStr">
        <is>
          <t>Legenda de cores</t>
        </is>
      </c>
    </row>
    <row r="27" ht="20" customHeight="1">
      <c r="B27" s="15" t="inlineStr">
        <is>
          <t>OK · Em dia · Pronto · Concluído</t>
        </is>
      </c>
      <c r="C27" s="16" t="inlineStr">
        <is>
          <t>Rotina em ordem; nada a fazer agora.</t>
        </is>
      </c>
    </row>
    <row r="28" ht="20" customHeight="1">
      <c r="B28" s="17" t="inlineStr">
        <is>
          <t>Atenção · A vencer</t>
        </is>
      </c>
      <c r="C28" s="16" t="inlineStr">
        <is>
          <t>Prazo próximo: agir nos próximos dias.</t>
        </is>
      </c>
    </row>
    <row r="29" ht="20" customHeight="1">
      <c r="B29" s="18" t="inlineStr">
        <is>
          <t>Vencido · Atrasado</t>
        </is>
      </c>
      <c r="C29" s="16" t="inlineStr">
        <is>
          <t>Prazo perdido ou risco trabalhista/multa: prioridade imediata.</t>
        </is>
      </c>
    </row>
    <row r="30" ht="20" customHeight="1">
      <c r="B30" s="19" t="inlineStr">
        <is>
          <t>Neutro · N/A</t>
        </is>
      </c>
      <c r="C30" s="16" t="inlineStr">
        <is>
          <t>Não se aplica, em aquisição ou em andamento sem prazo crítico.</t>
        </is>
      </c>
    </row>
    <row r="32" ht="26" customHeight="1">
      <c r="B32" s="20" t="inlineStr">
        <is>
          <t>Modelo de portfólio criado por João Victor Soares. Todos os nomes, datas e valores são fictícios e servem apenas para demonstrar as fórmulas e os alertas.</t>
        </is>
      </c>
    </row>
  </sheetData>
  <mergeCells count="6">
    <mergeCell ref="B9:E9"/>
    <mergeCell ref="B8:E8"/>
    <mergeCell ref="B6:E6"/>
    <mergeCell ref="B7:E7"/>
    <mergeCell ref="B10:E10"/>
    <mergeCell ref="B32:E32"/>
  </mergeCells>
  <conditionalFormatting sqref="D14:D24">
    <cfRule type="expression" priority="1" dxfId="0">
      <formula>AND(ISNUMBER(D14),D14&gt;0)</formula>
    </cfRule>
  </conditionalFormatting>
  <conditionalFormatting sqref="E14:E24">
    <cfRule type="expression" priority="2" dxfId="1">
      <formula>AND(ISNUMBER(E14),E14&gt;0)</formula>
    </cfRule>
  </conditionalFormatting>
  <conditionalFormatting sqref="D14:E24">
    <cfRule type="expression" priority="3" dxfId="2">
      <formula>AND(ISNUMBER(D14),D14=0)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Q33"/>
  <sheetViews>
    <sheetView tabSelected="0" zoomScale="9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30" customWidth="1" min="2" max="2"/>
    <col width="12" customWidth="1" min="3" max="3"/>
    <col width="13" customWidth="1" min="4" max="4"/>
    <col width="13" customWidth="1" min="5" max="5"/>
    <col width="13" customWidth="1" min="6" max="6"/>
    <col width="18" customWidth="1" min="7" max="7"/>
    <col width="13" customWidth="1" min="8" max="8"/>
    <col width="13" customWidth="1" min="9" max="9"/>
    <col width="13" customWidth="1" min="10" max="10"/>
    <col width="13" customWidth="1" min="11" max="11"/>
    <col width="18" customWidth="1" min="12" max="12"/>
    <col width="13" customWidth="1" min="13" max="13"/>
    <col width="11" customWidth="1" min="14" max="14"/>
    <col width="10" customWidth="1" min="15" max="15"/>
    <col width="27" customWidth="1" min="16" max="16"/>
    <col width="48" customWidth="1" min="17" max="17"/>
  </cols>
  <sheetData>
    <row r="1" ht="28" customHeight="1">
      <c r="A1" s="21" t="inlineStr">
        <is>
          <t>Admissão — checklist por colaborador</t>
        </is>
      </c>
    </row>
    <row r="2" ht="16" customHeight="1">
      <c r="A2" s="2" t="inlineStr">
        <is>
          <t>Uma linha por contratação. Marque cada etapa como OK, Pendente ou N/A; o % concluído e o status se calculam sozinhos a partir da data de início.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>
      <c r="A4" s="25" t="inlineStr">
        <is>
          <t>preencher</t>
        </is>
      </c>
      <c r="B4" s="25" t="inlineStr">
        <is>
          <t>preencher</t>
        </is>
      </c>
      <c r="C4" s="25" t="inlineStr">
        <is>
          <t>preencher</t>
        </is>
      </c>
      <c r="D4" s="25" t="inlineStr">
        <is>
          <t>preencher</t>
        </is>
      </c>
      <c r="E4" s="25" t="inlineStr">
        <is>
          <t>preencher</t>
        </is>
      </c>
      <c r="F4" s="25" t="inlineStr">
        <is>
          <t>preencher</t>
        </is>
      </c>
      <c r="G4" s="25" t="inlineStr">
        <is>
          <t>preencher</t>
        </is>
      </c>
      <c r="H4" s="25" t="inlineStr">
        <is>
          <t>preencher</t>
        </is>
      </c>
      <c r="I4" s="25" t="inlineStr">
        <is>
          <t>preencher</t>
        </is>
      </c>
      <c r="J4" s="25" t="inlineStr">
        <is>
          <t>preencher</t>
        </is>
      </c>
      <c r="K4" s="25" t="inlineStr">
        <is>
          <t>preencher</t>
        </is>
      </c>
      <c r="L4" s="25" t="inlineStr">
        <is>
          <t>preencher</t>
        </is>
      </c>
      <c r="M4" s="25" t="inlineStr">
        <is>
          <t>preencher</t>
        </is>
      </c>
      <c r="N4" s="26" t="inlineStr">
        <is>
          <t>automático</t>
        </is>
      </c>
      <c r="O4" s="26" t="inlineStr">
        <is>
          <t>automático</t>
        </is>
      </c>
      <c r="P4" s="26" t="inlineStr">
        <is>
          <t>automático</t>
        </is>
      </c>
      <c r="Q4" s="25" t="inlineStr">
        <is>
          <t>preencher</t>
        </is>
      </c>
    </row>
    <row r="5" ht="70.5" customHeight="1">
      <c r="A5" s="27" t="inlineStr">
        <is>
          <t>Colaborador</t>
        </is>
      </c>
      <c r="B5" s="27" t="inlineStr">
        <is>
          <t>Cargo</t>
        </is>
      </c>
      <c r="C5" s="27" t="inlineStr">
        <is>
          <t>Data de início</t>
        </is>
      </c>
      <c r="D5" s="27" t="inlineStr">
        <is>
          <t>Documentos pessoais</t>
        </is>
      </c>
      <c r="E5" s="27" t="inlineStr">
        <is>
          <t>CTPS Digital conferida</t>
        </is>
      </c>
      <c r="F5" s="27" t="inlineStr">
        <is>
          <t>ASO admissional (apto)</t>
        </is>
      </c>
      <c r="G5" s="27" t="inlineStr">
        <is>
          <t>Contrato de experiência assinado (45+45 dias)</t>
        </is>
      </c>
      <c r="H5" s="27" t="inlineStr">
        <is>
          <t>Ficha de registro</t>
        </is>
      </c>
      <c r="I5" s="27" t="inlineStr">
        <is>
          <t>Opção de vale-transporte</t>
        </is>
      </c>
      <c r="J5" s="27" t="inlineStr">
        <is>
          <t>Dependentes (IRRF / salário-família)</t>
        </is>
      </c>
      <c r="K5" s="27" t="inlineStr">
        <is>
          <t>Dados bancários / conta salário</t>
        </is>
      </c>
      <c r="L5" s="27" t="inlineStr">
        <is>
          <t>eSocial S-2190 ou S-2200 enviado (até o dia anterior ao início)</t>
        </is>
      </c>
      <c r="M5" s="27" t="inlineStr">
        <is>
          <t>Integração agendada</t>
        </is>
      </c>
      <c r="N5" s="27" t="inlineStr">
        <is>
          <t>% concluído</t>
        </is>
      </c>
      <c r="O5" s="27" t="inlineStr">
        <is>
          <t>Dias para o início</t>
        </is>
      </c>
      <c r="P5" s="27" t="inlineStr">
        <is>
          <t>Status</t>
        </is>
      </c>
      <c r="Q5" s="27" t="inlineStr">
        <is>
          <t>Observações</t>
        </is>
      </c>
    </row>
    <row r="6" ht="18" customHeight="1">
      <c r="A6" s="28" t="inlineStr">
        <is>
          <t>Mariana Costa Ribeiro</t>
        </is>
      </c>
      <c r="B6" s="28" t="inlineStr">
        <is>
          <t>Assistente administrativa</t>
        </is>
      </c>
      <c r="C6" s="29" t="n">
        <v>46293</v>
      </c>
      <c r="D6" s="30" t="inlineStr">
        <is>
          <t>OK</t>
        </is>
      </c>
      <c r="E6" s="30" t="inlineStr">
        <is>
          <t>OK</t>
        </is>
      </c>
      <c r="F6" s="30" t="inlineStr">
        <is>
          <t>OK</t>
        </is>
      </c>
      <c r="G6" s="30" t="inlineStr">
        <is>
          <t>OK</t>
        </is>
      </c>
      <c r="H6" s="30" t="inlineStr">
        <is>
          <t>OK</t>
        </is>
      </c>
      <c r="I6" s="30" t="inlineStr">
        <is>
          <t>OK</t>
        </is>
      </c>
      <c r="J6" s="30" t="inlineStr">
        <is>
          <t>N/A</t>
        </is>
      </c>
      <c r="K6" s="30" t="inlineStr">
        <is>
          <t>OK</t>
        </is>
      </c>
      <c r="L6" s="30" t="inlineStr">
        <is>
          <t>OK</t>
        </is>
      </c>
      <c r="M6" s="30" t="inlineStr">
        <is>
          <t>OK</t>
        </is>
      </c>
      <c r="N6" s="31">
        <f>IF($A6="","",IFERROR(COUNTIF($D6:$M6,"OK")/(10-COUNTIF($D6:$M6,"N/A")),0))</f>
        <v/>
      </c>
      <c r="O6" s="32">
        <f>IF(OR($A6="",$C6=""),"",$C6-TODAY())</f>
        <v/>
      </c>
      <c r="P6" s="28">
        <f>IF($A6="","",IF($N6=1,"Pronto",IF($C6="","Informar data de início",IF($O6&lt;=0,"Atrasado","Atenção: início "&amp;IF($O6=0,"hoje",IF($O6=1,"amanhã","em "&amp;$O6&amp;" dias"))))))</f>
        <v/>
      </c>
      <c r="Q6" s="28" t="inlineStr">
        <is>
          <t>Admissão concluída; acompanhar a aba Integração</t>
        </is>
      </c>
    </row>
    <row r="7" ht="18" customHeight="1">
      <c r="A7" s="28" t="inlineStr">
        <is>
          <t>Lucas Henrique Almeida</t>
        </is>
      </c>
      <c r="B7" s="28" t="inlineStr">
        <is>
          <t>Auxiliar de logística</t>
        </is>
      </c>
      <c r="C7" s="29" t="n">
        <v>46321</v>
      </c>
      <c r="D7" s="30" t="inlineStr">
        <is>
          <t>OK</t>
        </is>
      </c>
      <c r="E7" s="30" t="inlineStr">
        <is>
          <t>OK</t>
        </is>
      </c>
      <c r="F7" s="30" t="inlineStr">
        <is>
          <t>Pendente</t>
        </is>
      </c>
      <c r="G7" s="30" t="inlineStr">
        <is>
          <t>OK</t>
        </is>
      </c>
      <c r="H7" s="30" t="inlineStr">
        <is>
          <t>OK</t>
        </is>
      </c>
      <c r="I7" s="30" t="inlineStr">
        <is>
          <t>OK</t>
        </is>
      </c>
      <c r="J7" s="30" t="inlineStr">
        <is>
          <t>OK</t>
        </is>
      </c>
      <c r="K7" s="30" t="inlineStr">
        <is>
          <t>OK</t>
        </is>
      </c>
      <c r="L7" s="30" t="inlineStr">
        <is>
          <t>Pendente</t>
        </is>
      </c>
      <c r="M7" s="30" t="inlineStr">
        <is>
          <t>OK</t>
        </is>
      </c>
      <c r="N7" s="31">
        <f>IF($A7="","",IFERROR(COUNTIF($D7:$M7,"OK")/(10-COUNTIF($D7:$M7,"N/A")),0))</f>
        <v/>
      </c>
      <c r="O7" s="32">
        <f>IF(OR($A7="",$C7=""),"",$C7-TODAY())</f>
        <v/>
      </c>
      <c r="P7" s="28">
        <f>IF($A7="","",IF($N7=1,"Pronto",IF($C7="","Informar data de início",IF($O7&lt;=0,"Atrasado","Atenção: início "&amp;IF($O7=0,"hoje",IF($O7=1,"amanhã","em "&amp;$O7&amp;" dias"))))))</f>
        <v/>
      </c>
      <c r="Q7" s="28" t="inlineStr">
        <is>
          <t>ASO agendado para 23/10; transmitir o eSocial logo após o exame</t>
        </is>
      </c>
    </row>
    <row r="8" ht="18" customHeight="1">
      <c r="A8" s="28" t="inlineStr">
        <is>
          <t>Fernanda Oliveira Santos</t>
        </is>
      </c>
      <c r="B8" s="28" t="inlineStr">
        <is>
          <t>Vendedora interna</t>
        </is>
      </c>
      <c r="C8" s="29" t="n">
        <v>46329</v>
      </c>
      <c r="D8" s="30" t="inlineStr">
        <is>
          <t>OK</t>
        </is>
      </c>
      <c r="E8" s="30" t="inlineStr">
        <is>
          <t>OK</t>
        </is>
      </c>
      <c r="F8" s="30" t="inlineStr">
        <is>
          <t>Pendente</t>
        </is>
      </c>
      <c r="G8" s="30" t="inlineStr">
        <is>
          <t>Pendente</t>
        </is>
      </c>
      <c r="H8" s="30" t="inlineStr">
        <is>
          <t>Pendente</t>
        </is>
      </c>
      <c r="I8" s="30" t="inlineStr">
        <is>
          <t>Pendente</t>
        </is>
      </c>
      <c r="J8" s="30" t="inlineStr">
        <is>
          <t>N/A</t>
        </is>
      </c>
      <c r="K8" s="30" t="inlineStr">
        <is>
          <t>Pendente</t>
        </is>
      </c>
      <c r="L8" s="30" t="inlineStr">
        <is>
          <t>Pendente</t>
        </is>
      </c>
      <c r="M8" s="30" t="inlineStr">
        <is>
          <t>Pendente</t>
        </is>
      </c>
      <c r="N8" s="31">
        <f>IF($A8="","",IFERROR(COUNTIF($D8:$M8,"OK")/(10-COUNTIF($D8:$M8,"N/A")),0))</f>
        <v/>
      </c>
      <c r="O8" s="32">
        <f>IF(OR($A8="",$C8=""),"",$C8-TODAY())</f>
        <v/>
      </c>
      <c r="P8" s="28">
        <f>IF($A8="","",IF($N8=1,"Pronto",IF($C8="","Informar data de início",IF($O8&lt;=0,"Atrasado","Atenção: início "&amp;IF($O8=0,"hoje",IF($O8=1,"amanhã","em "&amp;$O8&amp;" dias"))))))</f>
        <v/>
      </c>
      <c r="Q8" s="28" t="inlineStr">
        <is>
          <t>Agendar exame admissional e enviar o contrato para assinatura</t>
        </is>
      </c>
    </row>
    <row r="9" ht="18" customHeight="1">
      <c r="A9" s="28" t="inlineStr">
        <is>
          <t>Rafael Souza Lima</t>
        </is>
      </c>
      <c r="B9" s="28" t="inlineStr">
        <is>
          <t>Operador de empilhadeira</t>
        </is>
      </c>
      <c r="C9" s="29" t="n">
        <v>46315</v>
      </c>
      <c r="D9" s="30" t="inlineStr">
        <is>
          <t>OK</t>
        </is>
      </c>
      <c r="E9" s="30" t="inlineStr">
        <is>
          <t>OK</t>
        </is>
      </c>
      <c r="F9" s="30" t="inlineStr">
        <is>
          <t>OK</t>
        </is>
      </c>
      <c r="G9" s="30" t="inlineStr">
        <is>
          <t>Pendente</t>
        </is>
      </c>
      <c r="H9" s="30" t="inlineStr">
        <is>
          <t>OK</t>
        </is>
      </c>
      <c r="I9" s="30" t="inlineStr">
        <is>
          <t>OK</t>
        </is>
      </c>
      <c r="J9" s="30" t="inlineStr">
        <is>
          <t>OK</t>
        </is>
      </c>
      <c r="K9" s="30" t="inlineStr">
        <is>
          <t>Pendente</t>
        </is>
      </c>
      <c r="L9" s="30" t="inlineStr">
        <is>
          <t>OK</t>
        </is>
      </c>
      <c r="M9" s="30" t="inlineStr">
        <is>
          <t>OK</t>
        </is>
      </c>
      <c r="N9" s="31">
        <f>IF($A9="","",IFERROR(COUNTIF($D9:$M9,"OK")/(10-COUNTIF($D9:$M9,"N/A")),0))</f>
        <v/>
      </c>
      <c r="O9" s="32">
        <f>IF(OR($A9="",$C9=""),"",$C9-TODAY())</f>
        <v/>
      </c>
      <c r="P9" s="28">
        <f>IF($A9="","",IF($N9=1,"Pronto",IF($C9="","Informar data de início",IF($O9&lt;=0,"Atrasado","Atenção: início "&amp;IF($O9=0,"hoje",IF($O9=1,"amanhã","em "&amp;$O9&amp;" dias"))))))</f>
        <v/>
      </c>
      <c r="Q9" s="28" t="inlineStr">
        <is>
          <t>Já iniciou: colher assinatura do contrato e dados bancários hoje</t>
        </is>
      </c>
    </row>
    <row r="10" ht="18" customHeight="1">
      <c r="A10" s="28" t="inlineStr">
        <is>
          <t>Juliana Pereira Martins</t>
        </is>
      </c>
      <c r="B10" s="28" t="inlineStr">
        <is>
          <t>Recepcionista</t>
        </is>
      </c>
      <c r="C10" s="29" t="n">
        <v>46335</v>
      </c>
      <c r="D10" s="30" t="inlineStr">
        <is>
          <t>Pendente</t>
        </is>
      </c>
      <c r="E10" s="30" t="inlineStr">
        <is>
          <t>Pendente</t>
        </is>
      </c>
      <c r="F10" s="30" t="inlineStr">
        <is>
          <t>Pendente</t>
        </is>
      </c>
      <c r="G10" s="30" t="inlineStr">
        <is>
          <t>Pendente</t>
        </is>
      </c>
      <c r="H10" s="30" t="inlineStr">
        <is>
          <t>Pendente</t>
        </is>
      </c>
      <c r="I10" s="30" t="inlineStr">
        <is>
          <t>Pendente</t>
        </is>
      </c>
      <c r="J10" s="30" t="inlineStr">
        <is>
          <t>N/A</t>
        </is>
      </c>
      <c r="K10" s="30" t="inlineStr">
        <is>
          <t>Pendente</t>
        </is>
      </c>
      <c r="L10" s="30" t="inlineStr">
        <is>
          <t>Pendente</t>
        </is>
      </c>
      <c r="M10" s="30" t="inlineStr">
        <is>
          <t>Pendente</t>
        </is>
      </c>
      <c r="N10" s="31">
        <f>IF($A10="","",IFERROR(COUNTIF($D10:$M10,"OK")/(10-COUNTIF($D10:$M10,"N/A")),0))</f>
        <v/>
      </c>
      <c r="O10" s="32">
        <f>IF(OR($A10="",$C10=""),"",$C10-TODAY())</f>
        <v/>
      </c>
      <c r="P10" s="28">
        <f>IF($A10="","",IF($N10=1,"Pronto",IF($C10="","Informar data de início",IF($O10&lt;=0,"Atrasado","Atenção: início "&amp;IF($O10=0,"hoje",IF($O10=1,"amanhã","em "&amp;$O10&amp;" dias"))))))</f>
        <v/>
      </c>
      <c r="Q10" s="28" t="inlineStr">
        <is>
          <t>Proposta aceita em 20/10; lista de documentos enviada por e-mail</t>
        </is>
      </c>
    </row>
    <row r="11" ht="18" customHeight="1">
      <c r="A11" s="28" t="inlineStr">
        <is>
          <t>Bruno Carvalho Ferreira</t>
        </is>
      </c>
      <c r="B11" s="28" t="inlineStr">
        <is>
          <t>Motorista</t>
        </is>
      </c>
      <c r="C11" s="29" t="n">
        <v>46318</v>
      </c>
      <c r="D11" s="30" t="inlineStr">
        <is>
          <t>OK</t>
        </is>
      </c>
      <c r="E11" s="30" t="inlineStr">
        <is>
          <t>OK</t>
        </is>
      </c>
      <c r="F11" s="30" t="inlineStr">
        <is>
          <t>OK</t>
        </is>
      </c>
      <c r="G11" s="30" t="inlineStr">
        <is>
          <t>OK</t>
        </is>
      </c>
      <c r="H11" s="30" t="inlineStr">
        <is>
          <t>OK</t>
        </is>
      </c>
      <c r="I11" s="30" t="inlineStr">
        <is>
          <t>OK</t>
        </is>
      </c>
      <c r="J11" s="30" t="inlineStr">
        <is>
          <t>OK</t>
        </is>
      </c>
      <c r="K11" s="30" t="inlineStr">
        <is>
          <t>OK</t>
        </is>
      </c>
      <c r="L11" s="30" t="inlineStr">
        <is>
          <t>OK</t>
        </is>
      </c>
      <c r="M11" s="30" t="inlineStr">
        <is>
          <t>Pendente</t>
        </is>
      </c>
      <c r="N11" s="31">
        <f>IF($A11="","",IFERROR(COUNTIF($D11:$M11,"OK")/(10-COUNTIF($D11:$M11,"N/A")),0))</f>
        <v/>
      </c>
      <c r="O11" s="32">
        <f>IF(OR($A11="",$C11=""),"",$C11-TODAY())</f>
        <v/>
      </c>
      <c r="P11" s="28">
        <f>IF($A11="","",IF($N11=1,"Pronto",IF($C11="","Informar data de início",IF($O11&lt;=0,"Atrasado","Atenção: início "&amp;IF($O11=0,"hoje",IF($O11=1,"amanhã","em "&amp;$O11&amp;" dias"))))))</f>
        <v/>
      </c>
      <c r="Q11" s="28" t="inlineStr">
        <is>
          <t>Confirmar horário da integração com o SESMT</t>
        </is>
      </c>
    </row>
    <row r="12" ht="18" customHeight="1">
      <c r="A12" s="28" t="inlineStr">
        <is>
          <t>Camila Rodrigues Gomes</t>
        </is>
      </c>
      <c r="B12" s="28" t="inlineStr">
        <is>
          <t>Técnica de segurança do trabalho</t>
        </is>
      </c>
      <c r="C12" s="29" t="n">
        <v>46323</v>
      </c>
      <c r="D12" s="30" t="inlineStr">
        <is>
          <t>OK</t>
        </is>
      </c>
      <c r="E12" s="30" t="inlineStr">
        <is>
          <t>OK</t>
        </is>
      </c>
      <c r="F12" s="30" t="inlineStr">
        <is>
          <t>OK</t>
        </is>
      </c>
      <c r="G12" s="30" t="inlineStr">
        <is>
          <t>OK</t>
        </is>
      </c>
      <c r="H12" s="30" t="inlineStr">
        <is>
          <t>OK</t>
        </is>
      </c>
      <c r="I12" s="30" t="inlineStr">
        <is>
          <t>OK</t>
        </is>
      </c>
      <c r="J12" s="30" t="inlineStr">
        <is>
          <t>N/A</t>
        </is>
      </c>
      <c r="K12" s="30" t="inlineStr">
        <is>
          <t>OK</t>
        </is>
      </c>
      <c r="L12" s="30" t="inlineStr">
        <is>
          <t>OK</t>
        </is>
      </c>
      <c r="M12" s="30" t="inlineStr">
        <is>
          <t>OK</t>
        </is>
      </c>
      <c r="N12" s="31">
        <f>IF($A12="","",IFERROR(COUNTIF($D12:$M12,"OK")/(10-COUNTIF($D12:$M12,"N/A")),0))</f>
        <v/>
      </c>
      <c r="O12" s="32">
        <f>IF(OR($A12="",$C12=""),"",$C12-TODAY())</f>
        <v/>
      </c>
      <c r="P12" s="28">
        <f>IF($A12="","",IF($N12=1,"Pronto",IF($C12="","Informar data de início",IF($O12&lt;=0,"Atrasado","Atenção: início "&amp;IF($O12=0,"hoje",IF($O12=1,"amanhã","em "&amp;$O12&amp;" dias"))))))</f>
        <v/>
      </c>
      <c r="Q12" s="28" t="inlineStr">
        <is>
          <t>Tudo pronto para o primeiro dia</t>
        </is>
      </c>
    </row>
    <row r="13" ht="18" customHeight="1">
      <c r="A13" s="28" t="n"/>
      <c r="B13" s="28" t="n"/>
      <c r="C13" s="29" t="n"/>
      <c r="D13" s="30" t="n"/>
      <c r="E13" s="30" t="n"/>
      <c r="F13" s="30" t="n"/>
      <c r="G13" s="30" t="n"/>
      <c r="H13" s="30" t="n"/>
      <c r="I13" s="30" t="n"/>
      <c r="J13" s="30" t="n"/>
      <c r="K13" s="30" t="n"/>
      <c r="L13" s="30" t="n"/>
      <c r="M13" s="30" t="n"/>
      <c r="N13" s="31">
        <f>IF($A13="","",IFERROR(COUNTIF($D13:$M13,"OK")/(10-COUNTIF($D13:$M13,"N/A")),0))</f>
        <v/>
      </c>
      <c r="O13" s="32">
        <f>IF(OR($A13="",$C13=""),"",$C13-TODAY())</f>
        <v/>
      </c>
      <c r="P13" s="28">
        <f>IF($A13="","",IF($N13=1,"Pronto",IF($C13="","Informar data de início",IF($O13&lt;=0,"Atrasado","Atenção: início "&amp;IF($O13=0,"hoje",IF($O13=1,"amanhã","em "&amp;$O13&amp;" dias"))))))</f>
        <v/>
      </c>
      <c r="Q13" s="28" t="n"/>
    </row>
    <row r="14" ht="18" customHeight="1">
      <c r="A14" s="28" t="n"/>
      <c r="B14" s="28" t="n"/>
      <c r="C14" s="29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  <c r="M14" s="30" t="n"/>
      <c r="N14" s="31">
        <f>IF($A14="","",IFERROR(COUNTIF($D14:$M14,"OK")/(10-COUNTIF($D14:$M14,"N/A")),0))</f>
        <v/>
      </c>
      <c r="O14" s="32">
        <f>IF(OR($A14="",$C14=""),"",$C14-TODAY())</f>
        <v/>
      </c>
      <c r="P14" s="28">
        <f>IF($A14="","",IF($N14=1,"Pronto",IF($C14="","Informar data de início",IF($O14&lt;=0,"Atrasado","Atenção: início "&amp;IF($O14=0,"hoje",IF($O14=1,"amanhã","em "&amp;$O14&amp;" dias"))))))</f>
        <v/>
      </c>
      <c r="Q14" s="28" t="n"/>
    </row>
    <row r="15" ht="18" customHeight="1">
      <c r="A15" s="28" t="n"/>
      <c r="B15" s="28" t="n"/>
      <c r="C15" s="29" t="n"/>
      <c r="D15" s="30" t="n"/>
      <c r="E15" s="30" t="n"/>
      <c r="F15" s="30" t="n"/>
      <c r="G15" s="30" t="n"/>
      <c r="H15" s="30" t="n"/>
      <c r="I15" s="30" t="n"/>
      <c r="J15" s="30" t="n"/>
      <c r="K15" s="30" t="n"/>
      <c r="L15" s="30" t="n"/>
      <c r="M15" s="30" t="n"/>
      <c r="N15" s="31">
        <f>IF($A15="","",IFERROR(COUNTIF($D15:$M15,"OK")/(10-COUNTIF($D15:$M15,"N/A")),0))</f>
        <v/>
      </c>
      <c r="O15" s="32">
        <f>IF(OR($A15="",$C15=""),"",$C15-TODAY())</f>
        <v/>
      </c>
      <c r="P15" s="28">
        <f>IF($A15="","",IF($N15=1,"Pronto",IF($C15="","Informar data de início",IF($O15&lt;=0,"Atrasado","Atenção: início "&amp;IF($O15=0,"hoje",IF($O15=1,"amanhã","em "&amp;$O15&amp;" dias"))))))</f>
        <v/>
      </c>
      <c r="Q15" s="28" t="n"/>
    </row>
    <row r="16" ht="18" customHeight="1">
      <c r="A16" s="28" t="n"/>
      <c r="B16" s="28" t="n"/>
      <c r="C16" s="29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  <c r="M16" s="30" t="n"/>
      <c r="N16" s="31">
        <f>IF($A16="","",IFERROR(COUNTIF($D16:$M16,"OK")/(10-COUNTIF($D16:$M16,"N/A")),0))</f>
        <v/>
      </c>
      <c r="O16" s="32">
        <f>IF(OR($A16="",$C16=""),"",$C16-TODAY())</f>
        <v/>
      </c>
      <c r="P16" s="28">
        <f>IF($A16="","",IF($N16=1,"Pronto",IF($C16="","Informar data de início",IF($O16&lt;=0,"Atrasado","Atenção: início "&amp;IF($O16=0,"hoje",IF($O16=1,"amanhã","em "&amp;$O16&amp;" dias"))))))</f>
        <v/>
      </c>
      <c r="Q16" s="28" t="n"/>
    </row>
    <row r="17" ht="18" customHeight="1">
      <c r="A17" s="28" t="n"/>
      <c r="B17" s="28" t="n"/>
      <c r="C17" s="29" t="n"/>
      <c r="D17" s="30" t="n"/>
      <c r="E17" s="30" t="n"/>
      <c r="F17" s="30" t="n"/>
      <c r="G17" s="30" t="n"/>
      <c r="H17" s="30" t="n"/>
      <c r="I17" s="30" t="n"/>
      <c r="J17" s="30" t="n"/>
      <c r="K17" s="30" t="n"/>
      <c r="L17" s="30" t="n"/>
      <c r="M17" s="30" t="n"/>
      <c r="N17" s="31">
        <f>IF($A17="","",IFERROR(COUNTIF($D17:$M17,"OK")/(10-COUNTIF($D17:$M17,"N/A")),0))</f>
        <v/>
      </c>
      <c r="O17" s="32">
        <f>IF(OR($A17="",$C17=""),"",$C17-TODAY())</f>
        <v/>
      </c>
      <c r="P17" s="28">
        <f>IF($A17="","",IF($N17=1,"Pronto",IF($C17="","Informar data de início",IF($O17&lt;=0,"Atrasado","Atenção: início "&amp;IF($O17=0,"hoje",IF($O17=1,"amanhã","em "&amp;$O17&amp;" dias"))))))</f>
        <v/>
      </c>
      <c r="Q17" s="28" t="n"/>
    </row>
    <row r="18" ht="18" customHeight="1">
      <c r="A18" s="28" t="n"/>
      <c r="B18" s="28" t="n"/>
      <c r="C18" s="29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1">
        <f>IF($A18="","",IFERROR(COUNTIF($D18:$M18,"OK")/(10-COUNTIF($D18:$M18,"N/A")),0))</f>
        <v/>
      </c>
      <c r="O18" s="32">
        <f>IF(OR($A18="",$C18=""),"",$C18-TODAY())</f>
        <v/>
      </c>
      <c r="P18" s="28">
        <f>IF($A18="","",IF($N18=1,"Pronto",IF($C18="","Informar data de início",IF($O18&lt;=0,"Atrasado","Atenção: início "&amp;IF($O18=0,"hoje",IF($O18=1,"amanhã","em "&amp;$O18&amp;" dias"))))))</f>
        <v/>
      </c>
      <c r="Q18" s="28" t="n"/>
    </row>
    <row r="19" ht="18" customHeight="1">
      <c r="A19" s="28" t="n"/>
      <c r="B19" s="28" t="n"/>
      <c r="C19" s="29" t="n"/>
      <c r="D19" s="30" t="n"/>
      <c r="E19" s="30" t="n"/>
      <c r="F19" s="30" t="n"/>
      <c r="G19" s="30" t="n"/>
      <c r="H19" s="30" t="n"/>
      <c r="I19" s="30" t="n"/>
      <c r="J19" s="30" t="n"/>
      <c r="K19" s="30" t="n"/>
      <c r="L19" s="30" t="n"/>
      <c r="M19" s="30" t="n"/>
      <c r="N19" s="31">
        <f>IF($A19="","",IFERROR(COUNTIF($D19:$M19,"OK")/(10-COUNTIF($D19:$M19,"N/A")),0))</f>
        <v/>
      </c>
      <c r="O19" s="32">
        <f>IF(OR($A19="",$C19=""),"",$C19-TODAY())</f>
        <v/>
      </c>
      <c r="P19" s="28">
        <f>IF($A19="","",IF($N19=1,"Pronto",IF($C19="","Informar data de início",IF($O19&lt;=0,"Atrasado","Atenção: início "&amp;IF($O19=0,"hoje",IF($O19=1,"amanhã","em "&amp;$O19&amp;" dias"))))))</f>
        <v/>
      </c>
      <c r="Q19" s="28" t="n"/>
    </row>
    <row r="20" ht="18" customHeight="1">
      <c r="A20" s="28" t="n"/>
      <c r="B20" s="28" t="n"/>
      <c r="C20" s="29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  <c r="M20" s="30" t="n"/>
      <c r="N20" s="31">
        <f>IF($A20="","",IFERROR(COUNTIF($D20:$M20,"OK")/(10-COUNTIF($D20:$M20,"N/A")),0))</f>
        <v/>
      </c>
      <c r="O20" s="32">
        <f>IF(OR($A20="",$C20=""),"",$C20-TODAY())</f>
        <v/>
      </c>
      <c r="P20" s="28">
        <f>IF($A20="","",IF($N20=1,"Pronto",IF($C20="","Informar data de início",IF($O20&lt;=0,"Atrasado","Atenção: início "&amp;IF($O20=0,"hoje",IF($O20=1,"amanhã","em "&amp;$O20&amp;" dias"))))))</f>
        <v/>
      </c>
      <c r="Q20" s="28" t="n"/>
    </row>
    <row r="21" ht="18" customHeight="1">
      <c r="A21" s="28" t="n"/>
      <c r="B21" s="28" t="n"/>
      <c r="C21" s="29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1">
        <f>IF($A21="","",IFERROR(COUNTIF($D21:$M21,"OK")/(10-COUNTIF($D21:$M21,"N/A")),0))</f>
        <v/>
      </c>
      <c r="O21" s="32">
        <f>IF(OR($A21="",$C21=""),"",$C21-TODAY())</f>
        <v/>
      </c>
      <c r="P21" s="28">
        <f>IF($A21="","",IF($N21=1,"Pronto",IF($C21="","Informar data de início",IF($O21&lt;=0,"Atrasado","Atenção: início "&amp;IF($O21=0,"hoje",IF($O21=1,"amanhã","em "&amp;$O21&amp;" dias"))))))</f>
        <v/>
      </c>
      <c r="Q21" s="28" t="n"/>
    </row>
    <row r="22" ht="18" customHeight="1">
      <c r="A22" s="28" t="n"/>
      <c r="B22" s="28" t="n"/>
      <c r="C22" s="29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  <c r="M22" s="30" t="n"/>
      <c r="N22" s="31">
        <f>IF($A22="","",IFERROR(COUNTIF($D22:$M22,"OK")/(10-COUNTIF($D22:$M22,"N/A")),0))</f>
        <v/>
      </c>
      <c r="O22" s="32">
        <f>IF(OR($A22="",$C22=""),"",$C22-TODAY())</f>
        <v/>
      </c>
      <c r="P22" s="28">
        <f>IF($A22="","",IF($N22=1,"Pronto",IF($C22="","Informar data de início",IF($O22&lt;=0,"Atrasado","Atenção: início "&amp;IF($O22=0,"hoje",IF($O22=1,"amanhã","em "&amp;$O22&amp;" dias"))))))</f>
        <v/>
      </c>
      <c r="Q22" s="28" t="n"/>
    </row>
    <row r="23" ht="18" customHeight="1">
      <c r="A23" s="28" t="n"/>
      <c r="B23" s="28" t="n"/>
      <c r="C23" s="29" t="n"/>
      <c r="D23" s="30" t="n"/>
      <c r="E23" s="30" t="n"/>
      <c r="F23" s="30" t="n"/>
      <c r="G23" s="30" t="n"/>
      <c r="H23" s="30" t="n"/>
      <c r="I23" s="30" t="n"/>
      <c r="J23" s="30" t="n"/>
      <c r="K23" s="30" t="n"/>
      <c r="L23" s="30" t="n"/>
      <c r="M23" s="30" t="n"/>
      <c r="N23" s="31">
        <f>IF($A23="","",IFERROR(COUNTIF($D23:$M23,"OK")/(10-COUNTIF($D23:$M23,"N/A")),0))</f>
        <v/>
      </c>
      <c r="O23" s="32">
        <f>IF(OR($A23="",$C23=""),"",$C23-TODAY())</f>
        <v/>
      </c>
      <c r="P23" s="28">
        <f>IF($A23="","",IF($N23=1,"Pronto",IF($C23="","Informar data de início",IF($O23&lt;=0,"Atrasado","Atenção: início "&amp;IF($O23=0,"hoje",IF($O23=1,"amanhã","em "&amp;$O23&amp;" dias"))))))</f>
        <v/>
      </c>
      <c r="Q23" s="28" t="n"/>
    </row>
    <row r="24" ht="18" customHeight="1">
      <c r="A24" s="28" t="n"/>
      <c r="B24" s="28" t="n"/>
      <c r="C24" s="29" t="n"/>
      <c r="D24" s="30" t="n"/>
      <c r="E24" s="30" t="n"/>
      <c r="F24" s="30" t="n"/>
      <c r="G24" s="30" t="n"/>
      <c r="H24" s="30" t="n"/>
      <c r="I24" s="30" t="n"/>
      <c r="J24" s="30" t="n"/>
      <c r="K24" s="30" t="n"/>
      <c r="L24" s="30" t="n"/>
      <c r="M24" s="30" t="n"/>
      <c r="N24" s="31">
        <f>IF($A24="","",IFERROR(COUNTIF($D24:$M24,"OK")/(10-COUNTIF($D24:$M24,"N/A")),0))</f>
        <v/>
      </c>
      <c r="O24" s="32">
        <f>IF(OR($A24="",$C24=""),"",$C24-TODAY())</f>
        <v/>
      </c>
      <c r="P24" s="28">
        <f>IF($A24="","",IF($N24=1,"Pronto",IF($C24="","Informar data de início",IF($O24&lt;=0,"Atrasado","Atenção: início "&amp;IF($O24=0,"hoje",IF($O24=1,"amanhã","em "&amp;$O24&amp;" dias"))))))</f>
        <v/>
      </c>
      <c r="Q24" s="28" t="n"/>
    </row>
    <row r="25" ht="18" customHeight="1">
      <c r="A25" s="28" t="n"/>
      <c r="B25" s="28" t="n"/>
      <c r="C25" s="29" t="n"/>
      <c r="D25" s="30" t="n"/>
      <c r="E25" s="30" t="n"/>
      <c r="F25" s="30" t="n"/>
      <c r="G25" s="30" t="n"/>
      <c r="H25" s="30" t="n"/>
      <c r="I25" s="30" t="n"/>
      <c r="J25" s="30" t="n"/>
      <c r="K25" s="30" t="n"/>
      <c r="L25" s="30" t="n"/>
      <c r="M25" s="30" t="n"/>
      <c r="N25" s="31">
        <f>IF($A25="","",IFERROR(COUNTIF($D25:$M25,"OK")/(10-COUNTIF($D25:$M25,"N/A")),0))</f>
        <v/>
      </c>
      <c r="O25" s="32">
        <f>IF(OR($A25="",$C25=""),"",$C25-TODAY())</f>
        <v/>
      </c>
      <c r="P25" s="28">
        <f>IF($A25="","",IF($N25=1,"Pronto",IF($C25="","Informar data de início",IF($O25&lt;=0,"Atrasado","Atenção: início "&amp;IF($O25=0,"hoje",IF($O25=1,"amanhã","em "&amp;$O25&amp;" dias"))))))</f>
        <v/>
      </c>
      <c r="Q25" s="28" t="n"/>
    </row>
    <row r="27" ht="20" customHeight="1">
      <c r="A27" s="33" t="inlineStr">
        <is>
          <t>Notas e referências legais</t>
        </is>
      </c>
    </row>
    <row r="28" ht="29" customHeight="1">
      <c r="A28" s="34" t="inlineStr">
        <is>
          <t>• eSocial: o S-2200 (admissão) — ou o S-2190 (registro preliminar), quando utilizado — deve ser transmitido até o dia anterior ao início das atividades.</t>
        </is>
      </c>
    </row>
    <row r="29" ht="16.5" customHeight="1">
      <c r="A29" s="34" t="inlineStr">
        <is>
          <t>• ASO admissional: o exame clínico deve ser realizado antes de o empregado assumir as atividades (NR-7).</t>
        </is>
      </c>
    </row>
    <row r="30" ht="16.5" customHeight="1">
      <c r="A30" s="34" t="inlineStr">
        <is>
          <t>• Contrato de experiência: até 90 dias (CLT, art. 445, parágrafo único), com uma única prorrogação (art. 451) — daí o modelo 45 + 45 dias.</t>
        </is>
      </c>
    </row>
    <row r="31" ht="29" customHeight="1">
      <c r="A31" s="34" t="inlineStr">
        <is>
          <t>• CTPS Digital: o registro é gerado a partir das informações enviadas ao eSocial; confira os dados na Carteira de Trabalho Digital do colaborador.</t>
        </is>
      </c>
    </row>
    <row r="32" ht="16.5" customHeight="1">
      <c r="A32" s="34" t="inlineStr">
        <is>
          <t>• Dependentes: colete os documentos para dedução no IRRF e, quando cabível, para o salário-família.</t>
        </is>
      </c>
    </row>
    <row r="33" ht="29" customHeight="1">
      <c r="A33" s="34" t="inlineStr">
        <is>
          <t>• % concluído = itens OK ÷ itens aplicáveis (N/A não entra na conta). Status: Pronto (100%) · Atenção (início próximo e itens pendentes) · Atrasado (data de início chegou com pendências).</t>
        </is>
      </c>
    </row>
  </sheetData>
  <autoFilter ref="A5:Q25"/>
  <mergeCells count="6">
    <mergeCell ref="A32:G32"/>
    <mergeCell ref="A31:G31"/>
    <mergeCell ref="A30:G30"/>
    <mergeCell ref="A29:G29"/>
    <mergeCell ref="A33:G33"/>
    <mergeCell ref="A28:G28"/>
  </mergeCells>
  <conditionalFormatting sqref="P6:P25">
    <cfRule type="expression" priority="1" dxfId="0">
      <formula>LEFT($P6,8)="Atrasado"</formula>
    </cfRule>
    <cfRule type="expression" priority="2" dxfId="1">
      <formula>OR(LEFT($P6,7)="Atenção",LEFT($P6,8)="Informar")</formula>
    </cfRule>
    <cfRule type="expression" priority="3" dxfId="2">
      <formula>$P6="Pronto"</formula>
    </cfRule>
  </conditionalFormatting>
  <conditionalFormatting sqref="D6:M25">
    <cfRule type="expression" priority="4" dxfId="3">
      <formula>D6="OK"</formula>
    </cfRule>
    <cfRule type="expression" priority="5" dxfId="4">
      <formula>D6="Pendente"</formula>
    </cfRule>
    <cfRule type="expression" priority="6" dxfId="5">
      <formula>D6="N/A"</formula>
    </cfRule>
  </conditionalFormatting>
  <conditionalFormatting sqref="N6:N25">
    <cfRule type="dataBar" priority="7">
      <dataBar showValue="1">
        <cfvo type="num" val="0"/>
        <cfvo type="num" val="1"/>
        <color rgb="003346B0"/>
      </dataBar>
    </cfRule>
  </conditionalFormatting>
  <conditionalFormatting sqref="A6:Q25">
    <cfRule type="expression" priority="8" dxfId="6">
      <formula>MOD(ROW(),2)=0</formula>
    </cfRule>
  </conditionalFormatting>
  <dataValidations count="1">
    <dataValidation sqref="D6:M25" showDropDown="0" showInputMessage="0" showErrorMessage="1" allowBlank="1" errorTitle="Valor inválido" error="Escolha um valor da lista." type="list">
      <formula1>"Pendente,OK,N/A"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I32"/>
  <sheetViews>
    <sheetView tabSelected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30" customWidth="1" min="2" max="2"/>
    <col width="20" customWidth="1" min="3" max="3"/>
    <col width="13" customWidth="1" min="4" max="4"/>
    <col width="14" customWidth="1" min="5" max="5"/>
    <col width="13" customWidth="1" min="6" max="6"/>
    <col width="10" customWidth="1" min="7" max="7"/>
    <col width="24" customWidth="1" min="8" max="8"/>
    <col width="48" customWidth="1" min="9" max="9"/>
  </cols>
  <sheetData>
    <row r="1" ht="28" customHeight="1">
      <c r="A1" s="21" t="inlineStr">
        <is>
          <t>Exames ocupacionais (ASO) — controle de vencimentos</t>
        </is>
      </c>
    </row>
    <row r="2" ht="16" customHeight="1">
      <c r="A2" s="2" t="inlineStr">
        <is>
          <t>Registre o último exame de cada colaborador; o próximo vencimento é calculado pela periodicidade definida no PCMSO.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>
      <c r="A4" s="25" t="inlineStr">
        <is>
          <t>preencher</t>
        </is>
      </c>
      <c r="B4" s="25" t="inlineStr">
        <is>
          <t>preencher</t>
        </is>
      </c>
      <c r="C4" s="25" t="inlineStr">
        <is>
          <t>preencher</t>
        </is>
      </c>
      <c r="D4" s="25" t="inlineStr">
        <is>
          <t>preencher</t>
        </is>
      </c>
      <c r="E4" s="25" t="inlineStr">
        <is>
          <t>preencher</t>
        </is>
      </c>
      <c r="F4" s="26" t="inlineStr">
        <is>
          <t>automático</t>
        </is>
      </c>
      <c r="G4" s="26" t="inlineStr">
        <is>
          <t>automático</t>
        </is>
      </c>
      <c r="H4" s="26" t="inlineStr">
        <is>
          <t>automático</t>
        </is>
      </c>
      <c r="I4" s="25" t="inlineStr">
        <is>
          <t>preencher</t>
        </is>
      </c>
    </row>
    <row r="5" ht="45.5" customHeight="1">
      <c r="A5" s="27" t="inlineStr">
        <is>
          <t>Colaborador</t>
        </is>
      </c>
      <c r="B5" s="27" t="inlineStr">
        <is>
          <t>Cargo / setor</t>
        </is>
      </c>
      <c r="C5" s="27" t="inlineStr">
        <is>
          <t>Tipo de exame</t>
        </is>
      </c>
      <c r="D5" s="27" t="inlineStr">
        <is>
          <t>Data de realização</t>
        </is>
      </c>
      <c r="E5" s="27" t="inlineStr">
        <is>
          <t>Periodicidade (meses) — PCMSO</t>
        </is>
      </c>
      <c r="F5" s="27" t="inlineStr">
        <is>
          <t>Próximo vencimento</t>
        </is>
      </c>
      <c r="G5" s="27" t="inlineStr">
        <is>
          <t>Dias para vencer</t>
        </is>
      </c>
      <c r="H5" s="27" t="inlineStr">
        <is>
          <t>Status</t>
        </is>
      </c>
      <c r="I5" s="27" t="inlineStr">
        <is>
          <t>Observações</t>
        </is>
      </c>
    </row>
    <row r="6" ht="18" customHeight="1">
      <c r="A6" s="28" t="inlineStr">
        <is>
          <t>Mariana Costa Ribeiro</t>
        </is>
      </c>
      <c r="B6" s="28" t="inlineStr">
        <is>
          <t>Assistente administrativa — Administrativo</t>
        </is>
      </c>
      <c r="C6" s="28" t="inlineStr">
        <is>
          <t>Admissional</t>
        </is>
      </c>
      <c r="D6" s="29" t="n">
        <v>46287</v>
      </c>
      <c r="E6" s="32" t="n">
        <v>24</v>
      </c>
      <c r="F6" s="29">
        <f>IF($A6="","",IF(OR($C6="Demissional",$D6="",$E6=""),"",EDATE($D6,$E6)))</f>
        <v/>
      </c>
      <c r="G6" s="32">
        <f>IF(OR($A6="",$F6=""),"",$F6-TODAY())</f>
        <v/>
      </c>
      <c r="H6" s="28">
        <f>IF($A6="","",IF($C6="Demissional","Encerrado (demissional)",IF($F6="","Informar data e periodicidade",IF($G6&lt;0,"Vencido",IF($G6&lt;=30,"Vence em até 30 dias","Em dia")))))</f>
        <v/>
      </c>
      <c r="I6" s="28" t="inlineStr">
        <is>
          <t>Sem exposição a riscos específicos no PGR</t>
        </is>
      </c>
    </row>
    <row r="7" ht="18" customHeight="1">
      <c r="A7" s="28" t="inlineStr">
        <is>
          <t>Carlos Eduardo Nunes</t>
        </is>
      </c>
      <c r="B7" s="28" t="inlineStr">
        <is>
          <t>Supervisor de logística — Expedição</t>
        </is>
      </c>
      <c r="C7" s="28" t="inlineStr">
        <is>
          <t>Periódico</t>
        </is>
      </c>
      <c r="D7" s="29" t="n">
        <v>45960</v>
      </c>
      <c r="E7" s="32" t="n">
        <v>12</v>
      </c>
      <c r="F7" s="29">
        <f>IF($A7="","",IF(OR($C7="Demissional",$D7="",$E7=""),"",EDATE($D7,$E7)))</f>
        <v/>
      </c>
      <c r="G7" s="32">
        <f>IF(OR($A7="",$F7=""),"",$F7-TODAY())</f>
        <v/>
      </c>
      <c r="H7" s="28">
        <f>IF($A7="","",IF($C7="Demissional","Encerrado (demissional)",IF($F7="","Informar data e periodicidade",IF($G7&lt;0,"Vencido",IF($G7&lt;=30,"Vence em até 30 dias","Em dia")))))</f>
        <v/>
      </c>
      <c r="I7" s="28" t="inlineStr">
        <is>
          <t>Agendar na clínica credenciada</t>
        </is>
      </c>
    </row>
    <row r="8" ht="18" customHeight="1">
      <c r="A8" s="28" t="inlineStr">
        <is>
          <t>Patrícia Lopes Barbosa</t>
        </is>
      </c>
      <c r="B8" s="28" t="inlineStr">
        <is>
          <t>Auxiliar de produção — Produção</t>
        </is>
      </c>
      <c r="C8" s="28" t="inlineStr">
        <is>
          <t>Periódico</t>
        </is>
      </c>
      <c r="D8" s="29" t="n">
        <v>45915</v>
      </c>
      <c r="E8" s="32" t="n">
        <v>12</v>
      </c>
      <c r="F8" s="29">
        <f>IF($A8="","",IF(OR($C8="Demissional",$D8="",$E8=""),"",EDATE($D8,$E8)))</f>
        <v/>
      </c>
      <c r="G8" s="32">
        <f>IF(OR($A8="",$F8=""),"",$F8-TODAY())</f>
        <v/>
      </c>
      <c r="H8" s="28">
        <f>IF($A8="","",IF($C8="Demissional","Encerrado (demissional)",IF($F8="","Informar data e periodicidade",IF($G8&lt;0,"Vencido",IF($G8&lt;=30,"Vence em até 30 dias","Em dia")))))</f>
        <v/>
      </c>
      <c r="I8" s="28" t="inlineStr">
        <is>
          <t>Convocar com urgência (exposição a ruído no PGR)</t>
        </is>
      </c>
    </row>
    <row r="9" ht="18" customHeight="1">
      <c r="A9" s="28" t="inlineStr">
        <is>
          <t>Rodrigo Teixeira Dias</t>
        </is>
      </c>
      <c r="B9" s="28" t="inlineStr">
        <is>
          <t>Operador de máquinas — Produção</t>
        </is>
      </c>
      <c r="C9" s="28" t="inlineStr">
        <is>
          <t>Retorno ao trabalho</t>
        </is>
      </c>
      <c r="D9" s="29" t="n">
        <v>46244</v>
      </c>
      <c r="E9" s="32" t="n">
        <v>12</v>
      </c>
      <c r="F9" s="29">
        <f>IF($A9="","",IF(OR($C9="Demissional",$D9="",$E9=""),"",EDATE($D9,$E9)))</f>
        <v/>
      </c>
      <c r="G9" s="32">
        <f>IF(OR($A9="",$F9=""),"",$F9-TODAY())</f>
        <v/>
      </c>
      <c r="H9" s="28">
        <f>IF($A9="","",IF($C9="Demissional","Encerrado (demissional)",IF($F9="","Informar data e periodicidade",IF($G9&lt;0,"Vencido",IF($G9&lt;=30,"Vence em até 30 dias","Em dia")))))</f>
        <v/>
      </c>
      <c r="I9" s="28" t="inlineStr">
        <is>
          <t>Retorno após 56 dias de afastamento (aba Afastamentos INSS)</t>
        </is>
      </c>
    </row>
    <row r="10" ht="18" customHeight="1">
      <c r="A10" s="28" t="inlineStr">
        <is>
          <t>Aline Moreira Castro</t>
        </is>
      </c>
      <c r="B10" s="28" t="inlineStr">
        <is>
          <t>Líder de expedição — Expedição</t>
        </is>
      </c>
      <c r="C10" s="28" t="inlineStr">
        <is>
          <t>Mudança de risco</t>
        </is>
      </c>
      <c r="D10" s="29" t="n">
        <v>46083</v>
      </c>
      <c r="E10" s="32" t="n">
        <v>12</v>
      </c>
      <c r="F10" s="29">
        <f>IF($A10="","",IF(OR($C10="Demissional",$D10="",$E10=""),"",EDATE($D10,$E10)))</f>
        <v/>
      </c>
      <c r="G10" s="32">
        <f>IF(OR($A10="",$F10=""),"",$F10-TODAY())</f>
        <v/>
      </c>
      <c r="H10" s="28">
        <f>IF($A10="","",IF($C10="Demissional","Encerrado (demissional)",IF($F10="","Informar data e periodicidade",IF($G10&lt;0,"Vencido",IF($G10&lt;=30,"Vence em até 30 dias","Em dia")))))</f>
        <v/>
      </c>
      <c r="I10" s="28" t="inlineStr">
        <is>
          <t>Passou a operar na doca de carga</t>
        </is>
      </c>
    </row>
    <row r="11" ht="18" customHeight="1">
      <c r="A11" s="28" t="inlineStr">
        <is>
          <t>Thiago Barros Cardoso</t>
        </is>
      </c>
      <c r="B11" s="28" t="inlineStr">
        <is>
          <t>Coordenador comercial — Comercial</t>
        </is>
      </c>
      <c r="C11" s="28" t="inlineStr">
        <is>
          <t>Periódico</t>
        </is>
      </c>
      <c r="D11" s="29" t="n">
        <v>45608</v>
      </c>
      <c r="E11" s="32" t="n">
        <v>24</v>
      </c>
      <c r="F11" s="29">
        <f>IF($A11="","",IF(OR($C11="Demissional",$D11="",$E11=""),"",EDATE($D11,$E11)))</f>
        <v/>
      </c>
      <c r="G11" s="32">
        <f>IF(OR($A11="",$F11=""),"",$F11-TODAY())</f>
        <v/>
      </c>
      <c r="H11" s="28">
        <f>IF($A11="","",IF($C11="Demissional","Encerrado (demissional)",IF($F11="","Informar data e periodicidade",IF($G11&lt;0,"Vencido",IF($G11&lt;=30,"Vence em até 30 dias","Em dia")))))</f>
        <v/>
      </c>
      <c r="I11" s="28" t="n"/>
    </row>
    <row r="12" ht="18" customHeight="1">
      <c r="A12" s="28" t="inlineStr">
        <is>
          <t>Vanessa Ramos Pinto</t>
        </is>
      </c>
      <c r="B12" s="28" t="inlineStr">
        <is>
          <t>Assistente comercial — Comercial</t>
        </is>
      </c>
      <c r="C12" s="28" t="inlineStr">
        <is>
          <t>Demissional</t>
        </is>
      </c>
      <c r="D12" s="29" t="n">
        <v>46310</v>
      </c>
      <c r="E12" s="32" t="n"/>
      <c r="F12" s="29">
        <f>IF($A12="","",IF(OR($C12="Demissional",$D12="",$E12=""),"",EDATE($D12,$E12)))</f>
        <v/>
      </c>
      <c r="G12" s="32">
        <f>IF(OR($A12="",$F12=""),"",$F12-TODAY())</f>
        <v/>
      </c>
      <c r="H12" s="28">
        <f>IF($A12="","",IF($C12="Demissional","Encerrado (demissional)",IF($F12="","Informar data e periodicidade",IF($G12&lt;0,"Vencido",IF($G12&lt;=30,"Vence em até 30 dias","Em dia")))))</f>
        <v/>
      </c>
      <c r="I12" s="28" t="inlineStr">
        <is>
          <t>Pedido de demissão — ver aba Desligamento</t>
        </is>
      </c>
    </row>
    <row r="13" ht="18" customHeight="1">
      <c r="A13" s="28" t="inlineStr">
        <is>
          <t>Diego Fernandes Araújo</t>
        </is>
      </c>
      <c r="B13" s="28" t="inlineStr">
        <is>
          <t>Auxiliar de logística — Expedição</t>
        </is>
      </c>
      <c r="C13" s="28" t="inlineStr">
        <is>
          <t>Admissional</t>
        </is>
      </c>
      <c r="D13" s="29" t="n">
        <v>45931</v>
      </c>
      <c r="E13" s="32" t="n">
        <v>12</v>
      </c>
      <c r="F13" s="29">
        <f>IF($A13="","",IF(OR($C13="Demissional",$D13="",$E13=""),"",EDATE($D13,$E13)))</f>
        <v/>
      </c>
      <c r="G13" s="32">
        <f>IF(OR($A13="",$F13=""),"",$F13-TODAY())</f>
        <v/>
      </c>
      <c r="H13" s="28">
        <f>IF($A13="","",IF($C13="Demissional","Encerrado (demissional)",IF($F13="","Informar data e periodicidade",IF($G13&lt;0,"Vencido",IF($G13&lt;=30,"Vence em até 30 dias","Em dia")))))</f>
        <v/>
      </c>
      <c r="I13" s="28" t="inlineStr">
        <is>
          <t>Periódico não realizado após 12 meses</t>
        </is>
      </c>
    </row>
    <row r="14" ht="18" customHeight="1">
      <c r="A14" s="28" t="inlineStr">
        <is>
          <t>Camila Rodrigues Gomes</t>
        </is>
      </c>
      <c r="B14" s="28" t="inlineStr">
        <is>
          <t>Técnica de segurança do trabalho — SESMT</t>
        </is>
      </c>
      <c r="C14" s="28" t="inlineStr">
        <is>
          <t>Admissional</t>
        </is>
      </c>
      <c r="D14" s="29" t="n">
        <v>46314</v>
      </c>
      <c r="E14" s="32" t="n">
        <v>12</v>
      </c>
      <c r="F14" s="29">
        <f>IF($A14="","",IF(OR($C14="Demissional",$D14="",$E14=""),"",EDATE($D14,$E14)))</f>
        <v/>
      </c>
      <c r="G14" s="32">
        <f>IF(OR($A14="",$F14=""),"",$F14-TODAY())</f>
        <v/>
      </c>
      <c r="H14" s="28">
        <f>IF($A14="","",IF($C14="Demissional","Encerrado (demissional)",IF($F14="","Informar data e periodicidade",IF($G14&lt;0,"Vencido",IF($G14&lt;=30,"Vence em até 30 dias","Em dia")))))</f>
        <v/>
      </c>
      <c r="I14" s="28" t="n"/>
    </row>
    <row r="15" ht="18" customHeight="1">
      <c r="A15" s="28" t="n"/>
      <c r="B15" s="28" t="n"/>
      <c r="C15" s="28" t="n"/>
      <c r="D15" s="29" t="n"/>
      <c r="E15" s="32" t="n"/>
      <c r="F15" s="29">
        <f>IF($A15="","",IF(OR($C15="Demissional",$D15="",$E15=""),"",EDATE($D15,$E15)))</f>
        <v/>
      </c>
      <c r="G15" s="32">
        <f>IF(OR($A15="",$F15=""),"",$F15-TODAY())</f>
        <v/>
      </c>
      <c r="H15" s="28">
        <f>IF($A15="","",IF($C15="Demissional","Encerrado (demissional)",IF($F15="","Informar data e periodicidade",IF($G15&lt;0,"Vencido",IF($G15&lt;=30,"Vence em até 30 dias","Em dia")))))</f>
        <v/>
      </c>
      <c r="I15" s="28" t="n"/>
    </row>
    <row r="16" ht="18" customHeight="1">
      <c r="A16" s="28" t="n"/>
      <c r="B16" s="28" t="n"/>
      <c r="C16" s="28" t="n"/>
      <c r="D16" s="29" t="n"/>
      <c r="E16" s="32" t="n"/>
      <c r="F16" s="29">
        <f>IF($A16="","",IF(OR($C16="Demissional",$D16="",$E16=""),"",EDATE($D16,$E16)))</f>
        <v/>
      </c>
      <c r="G16" s="32">
        <f>IF(OR($A16="",$F16=""),"",$F16-TODAY())</f>
        <v/>
      </c>
      <c r="H16" s="28">
        <f>IF($A16="","",IF($C16="Demissional","Encerrado (demissional)",IF($F16="","Informar data e periodicidade",IF($G16&lt;0,"Vencido",IF($G16&lt;=30,"Vence em até 30 dias","Em dia")))))</f>
        <v/>
      </c>
      <c r="I16" s="28" t="n"/>
    </row>
    <row r="17" ht="18" customHeight="1">
      <c r="A17" s="28" t="n"/>
      <c r="B17" s="28" t="n"/>
      <c r="C17" s="28" t="n"/>
      <c r="D17" s="29" t="n"/>
      <c r="E17" s="32" t="n"/>
      <c r="F17" s="29">
        <f>IF($A17="","",IF(OR($C17="Demissional",$D17="",$E17=""),"",EDATE($D17,$E17)))</f>
        <v/>
      </c>
      <c r="G17" s="32">
        <f>IF(OR($A17="",$F17=""),"",$F17-TODAY())</f>
        <v/>
      </c>
      <c r="H17" s="28">
        <f>IF($A17="","",IF($C17="Demissional","Encerrado (demissional)",IF($F17="","Informar data e periodicidade",IF($G17&lt;0,"Vencido",IF($G17&lt;=30,"Vence em até 30 dias","Em dia")))))</f>
        <v/>
      </c>
      <c r="I17" s="28" t="n"/>
    </row>
    <row r="18" ht="18" customHeight="1">
      <c r="A18" s="28" t="n"/>
      <c r="B18" s="28" t="n"/>
      <c r="C18" s="28" t="n"/>
      <c r="D18" s="29" t="n"/>
      <c r="E18" s="32" t="n"/>
      <c r="F18" s="29">
        <f>IF($A18="","",IF(OR($C18="Demissional",$D18="",$E18=""),"",EDATE($D18,$E18)))</f>
        <v/>
      </c>
      <c r="G18" s="32">
        <f>IF(OR($A18="",$F18=""),"",$F18-TODAY())</f>
        <v/>
      </c>
      <c r="H18" s="28">
        <f>IF($A18="","",IF($C18="Demissional","Encerrado (demissional)",IF($F18="","Informar data e periodicidade",IF($G18&lt;0,"Vencido",IF($G18&lt;=30,"Vence em até 30 dias","Em dia")))))</f>
        <v/>
      </c>
      <c r="I18" s="28" t="n"/>
    </row>
    <row r="19" ht="18" customHeight="1">
      <c r="A19" s="28" t="n"/>
      <c r="B19" s="28" t="n"/>
      <c r="C19" s="28" t="n"/>
      <c r="D19" s="29" t="n"/>
      <c r="E19" s="32" t="n"/>
      <c r="F19" s="29">
        <f>IF($A19="","",IF(OR($C19="Demissional",$D19="",$E19=""),"",EDATE($D19,$E19)))</f>
        <v/>
      </c>
      <c r="G19" s="32">
        <f>IF(OR($A19="",$F19=""),"",$F19-TODAY())</f>
        <v/>
      </c>
      <c r="H19" s="28">
        <f>IF($A19="","",IF($C19="Demissional","Encerrado (demissional)",IF($F19="","Informar data e periodicidade",IF($G19&lt;0,"Vencido",IF($G19&lt;=30,"Vence em até 30 dias","Em dia")))))</f>
        <v/>
      </c>
      <c r="I19" s="28" t="n"/>
    </row>
    <row r="20" ht="18" customHeight="1">
      <c r="A20" s="28" t="n"/>
      <c r="B20" s="28" t="n"/>
      <c r="C20" s="28" t="n"/>
      <c r="D20" s="29" t="n"/>
      <c r="E20" s="32" t="n"/>
      <c r="F20" s="29">
        <f>IF($A20="","",IF(OR($C20="Demissional",$D20="",$E20=""),"",EDATE($D20,$E20)))</f>
        <v/>
      </c>
      <c r="G20" s="32">
        <f>IF(OR($A20="",$F20=""),"",$F20-TODAY())</f>
        <v/>
      </c>
      <c r="H20" s="28">
        <f>IF($A20="","",IF($C20="Demissional","Encerrado (demissional)",IF($F20="","Informar data e periodicidade",IF($G20&lt;0,"Vencido",IF($G20&lt;=30,"Vence em até 30 dias","Em dia")))))</f>
        <v/>
      </c>
      <c r="I20" s="28" t="n"/>
    </row>
    <row r="21" ht="18" customHeight="1">
      <c r="A21" s="28" t="n"/>
      <c r="B21" s="28" t="n"/>
      <c r="C21" s="28" t="n"/>
      <c r="D21" s="29" t="n"/>
      <c r="E21" s="32" t="n"/>
      <c r="F21" s="29">
        <f>IF($A21="","",IF(OR($C21="Demissional",$D21="",$E21=""),"",EDATE($D21,$E21)))</f>
        <v/>
      </c>
      <c r="G21" s="32">
        <f>IF(OR($A21="",$F21=""),"",$F21-TODAY())</f>
        <v/>
      </c>
      <c r="H21" s="28">
        <f>IF($A21="","",IF($C21="Demissional","Encerrado (demissional)",IF($F21="","Informar data e periodicidade",IF($G21&lt;0,"Vencido",IF($G21&lt;=30,"Vence em até 30 dias","Em dia")))))</f>
        <v/>
      </c>
      <c r="I21" s="28" t="n"/>
    </row>
    <row r="22" ht="18" customHeight="1">
      <c r="A22" s="28" t="n"/>
      <c r="B22" s="28" t="n"/>
      <c r="C22" s="28" t="n"/>
      <c r="D22" s="29" t="n"/>
      <c r="E22" s="32" t="n"/>
      <c r="F22" s="29">
        <f>IF($A22="","",IF(OR($C22="Demissional",$D22="",$E22=""),"",EDATE($D22,$E22)))</f>
        <v/>
      </c>
      <c r="G22" s="32">
        <f>IF(OR($A22="",$F22=""),"",$F22-TODAY())</f>
        <v/>
      </c>
      <c r="H22" s="28">
        <f>IF($A22="","",IF($C22="Demissional","Encerrado (demissional)",IF($F22="","Informar data e periodicidade",IF($G22&lt;0,"Vencido",IF($G22&lt;=30,"Vence em até 30 dias","Em dia")))))</f>
        <v/>
      </c>
      <c r="I22" s="28" t="n"/>
    </row>
    <row r="23" ht="18" customHeight="1">
      <c r="A23" s="28" t="n"/>
      <c r="B23" s="28" t="n"/>
      <c r="C23" s="28" t="n"/>
      <c r="D23" s="29" t="n"/>
      <c r="E23" s="32" t="n"/>
      <c r="F23" s="29">
        <f>IF($A23="","",IF(OR($C23="Demissional",$D23="",$E23=""),"",EDATE($D23,$E23)))</f>
        <v/>
      </c>
      <c r="G23" s="32">
        <f>IF(OR($A23="",$F23=""),"",$F23-TODAY())</f>
        <v/>
      </c>
      <c r="H23" s="28">
        <f>IF($A23="","",IF($C23="Demissional","Encerrado (demissional)",IF($F23="","Informar data e periodicidade",IF($G23&lt;0,"Vencido",IF($G23&lt;=30,"Vence em até 30 dias","Em dia")))))</f>
        <v/>
      </c>
      <c r="I23" s="28" t="n"/>
    </row>
    <row r="24" ht="18" customHeight="1">
      <c r="A24" s="28" t="n"/>
      <c r="B24" s="28" t="n"/>
      <c r="C24" s="28" t="n"/>
      <c r="D24" s="29" t="n"/>
      <c r="E24" s="32" t="n"/>
      <c r="F24" s="29">
        <f>IF($A24="","",IF(OR($C24="Demissional",$D24="",$E24=""),"",EDATE($D24,$E24)))</f>
        <v/>
      </c>
      <c r="G24" s="32">
        <f>IF(OR($A24="",$F24=""),"",$F24-TODAY())</f>
        <v/>
      </c>
      <c r="H24" s="28">
        <f>IF($A24="","",IF($C24="Demissional","Encerrado (demissional)",IF($F24="","Informar data e periodicidade",IF($G24&lt;0,"Vencido",IF($G24&lt;=30,"Vence em até 30 dias","Em dia")))))</f>
        <v/>
      </c>
      <c r="I24" s="28" t="n"/>
    </row>
    <row r="25" ht="18" customHeight="1">
      <c r="A25" s="28" t="n"/>
      <c r="B25" s="28" t="n"/>
      <c r="C25" s="28" t="n"/>
      <c r="D25" s="29" t="n"/>
      <c r="E25" s="32" t="n"/>
      <c r="F25" s="29">
        <f>IF($A25="","",IF(OR($C25="Demissional",$D25="",$E25=""),"",EDATE($D25,$E25)))</f>
        <v/>
      </c>
      <c r="G25" s="32">
        <f>IF(OR($A25="",$F25=""),"",$F25-TODAY())</f>
        <v/>
      </c>
      <c r="H25" s="28">
        <f>IF($A25="","",IF($C25="Demissional","Encerrado (demissional)",IF($F25="","Informar data e periodicidade",IF($G25&lt;0,"Vencido",IF($G25&lt;=30,"Vence em até 30 dias","Em dia")))))</f>
        <v/>
      </c>
      <c r="I25" s="28" t="n"/>
    </row>
    <row r="27" ht="20" customHeight="1">
      <c r="A27" s="33" t="inlineStr">
        <is>
          <t>Notas e referências legais</t>
        </is>
      </c>
    </row>
    <row r="28" ht="29" customHeight="1">
      <c r="A28" s="34" t="inlineStr">
        <is>
          <t>• Periodicidade conforme o PCMSO da empresa (NR-7): em regra, anual para empregados expostos a riscos ocupacionais identificados no PGR e a cada 2 anos para os demais, salvo critério diferente do médico responsável.</t>
        </is>
      </c>
    </row>
    <row r="29" ht="29" customHeight="1">
      <c r="A29" s="34" t="inlineStr">
        <is>
          <t>• Retorno ao trabalho: exame antes de reassumir a função quando a ausência for igual ou superior a 30 dias por doença ou acidente, ocupacional ou não (NR-7).</t>
        </is>
      </c>
    </row>
    <row r="30" ht="16.5" customHeight="1">
      <c r="A30" s="34" t="inlineStr">
        <is>
          <t>• Mudança de risco: exame antes da data da mudança de função ou de exposição (NR-7).</t>
        </is>
      </c>
    </row>
    <row r="31" ht="29" customHeight="1">
      <c r="A31" s="34" t="inlineStr">
        <is>
          <t>• Demissional: em até 10 dias contados do término do contrato; pode ser dispensado se o último exame ocupacional foi realizado há menos de 135 dias (graus de risco 1 e 2) ou 90 dias (graus 3 e 4) (NR-7).</t>
        </is>
      </c>
    </row>
    <row r="32" ht="16.5" customHeight="1">
      <c r="A32" s="34" t="inlineStr">
        <is>
          <t>• Status: Vencido (data já passou) · Vence em até 30 dias (agendar já) · Em dia.</t>
        </is>
      </c>
    </row>
  </sheetData>
  <autoFilter ref="A5:I25"/>
  <mergeCells count="5">
    <mergeCell ref="A32:G32"/>
    <mergeCell ref="A31:G31"/>
    <mergeCell ref="A30:G30"/>
    <mergeCell ref="A29:G29"/>
    <mergeCell ref="A28:G28"/>
  </mergeCells>
  <conditionalFormatting sqref="H6:H25">
    <cfRule type="expression" priority="1" dxfId="0">
      <formula>$H6="Vencido"</formula>
    </cfRule>
    <cfRule type="expression" priority="2" dxfId="1">
      <formula>OR(LEFT($H6,5)="Vence",LEFT($H6,8)="Informar")</formula>
    </cfRule>
    <cfRule type="expression" priority="3" dxfId="2">
      <formula>$H6="Em dia"</formula>
    </cfRule>
    <cfRule type="expression" priority="4" dxfId="5">
      <formula>LEFT($H6,9)="Encerrado"</formula>
    </cfRule>
  </conditionalFormatting>
  <conditionalFormatting sqref="A6:I25">
    <cfRule type="expression" priority="5" dxfId="6">
      <formula>MOD(ROW(),2)=0</formula>
    </cfRule>
  </conditionalFormatting>
  <dataValidations count="2">
    <dataValidation sqref="C6:C25" showDropDown="0" showInputMessage="0" showErrorMessage="1" allowBlank="1" errorTitle="Valor inválido" error="Escolha um valor da lista." type="list">
      <formula1>"Admissional,Periódico,Retorno ao trabalho,Mudança de risco,Demissional"</formula1>
    </dataValidation>
    <dataValidation sqref="E6:E25" showDropDown="0" showInputMessage="0" showErrorMessage="1" allowBlank="1" errorTitle="Valor inválido" error="Escolha um valor da lista." type="list">
      <formula1>"12,24"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I27"/>
  <sheetViews>
    <sheetView tabSelected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6" customWidth="1" min="2" max="2"/>
    <col width="12" customWidth="1" min="3" max="3"/>
    <col width="13" customWidth="1" min="4" max="4"/>
    <col width="26" customWidth="1" min="5" max="5"/>
    <col width="13" customWidth="1" min="6" max="6"/>
    <col width="11" customWidth="1" min="7" max="7"/>
    <col width="22" customWidth="1" min="8" max="8"/>
    <col width="46" customWidth="1" min="9" max="9"/>
  </cols>
  <sheetData>
    <row r="1" ht="28" customHeight="1">
      <c r="A1" s="21" t="inlineStr">
        <is>
          <t>Integração — roteiro de onboarding (Dia 1 a 90 dias)</t>
        </is>
      </c>
    </row>
    <row r="2" ht="16" customHeight="1">
      <c r="A2" s="2" t="inlineStr">
        <is>
          <t>Informe o colaborador e a data de início: as datas previstas de cada etapa são recalculadas automaticamente.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 ht="18" customHeight="1">
      <c r="A4" s="22" t="inlineStr">
        <is>
          <t>Colaborador em integração</t>
        </is>
      </c>
      <c r="B4" s="35" t="inlineStr">
        <is>
          <t>Mariana Costa Ribeiro</t>
        </is>
      </c>
      <c r="C4" s="36" t="n"/>
      <c r="D4" s="37" t="n"/>
    </row>
    <row r="5" ht="18" customHeight="1">
      <c r="A5" s="22" t="inlineStr">
        <is>
          <t>Data de início (D+0)</t>
        </is>
      </c>
      <c r="B5" s="38" t="n">
        <v>46293</v>
      </c>
    </row>
    <row r="6">
      <c r="A6" s="25" t="inlineStr">
        <is>
          <t>preencher</t>
        </is>
      </c>
      <c r="B6" s="25" t="inlineStr">
        <is>
          <t>preencher</t>
        </is>
      </c>
      <c r="C6" s="25" t="inlineStr">
        <is>
          <t>preencher</t>
        </is>
      </c>
      <c r="D6" s="25" t="inlineStr">
        <is>
          <t>preencher</t>
        </is>
      </c>
      <c r="E6" s="26" t="inlineStr">
        <is>
          <t>automático</t>
        </is>
      </c>
      <c r="F6" s="26" t="inlineStr">
        <is>
          <t>automático</t>
        </is>
      </c>
      <c r="G6" s="25" t="inlineStr">
        <is>
          <t>preencher</t>
        </is>
      </c>
      <c r="H6" s="26" t="inlineStr">
        <is>
          <t>automático</t>
        </is>
      </c>
      <c r="I6" s="25" t="inlineStr">
        <is>
          <t>preencher</t>
        </is>
      </c>
    </row>
    <row r="7" ht="45.5" customHeight="1">
      <c r="A7" s="27" t="inlineStr">
        <is>
          <t>Etapa</t>
        </is>
      </c>
      <c r="B7" s="27" t="inlineStr">
        <is>
          <t>Quando</t>
        </is>
      </c>
      <c r="C7" s="27" t="inlineStr">
        <is>
          <t>Prazo (dias após o início)</t>
        </is>
      </c>
      <c r="D7" s="27" t="inlineStr">
        <is>
          <t>Responsável</t>
        </is>
      </c>
      <c r="E7" s="27" t="inlineStr">
        <is>
          <t>Para quem</t>
        </is>
      </c>
      <c r="F7" s="27" t="inlineStr">
        <is>
          <t>Data prevista</t>
        </is>
      </c>
      <c r="G7" s="27" t="inlineStr">
        <is>
          <t>Status</t>
        </is>
      </c>
      <c r="H7" s="27" t="inlineStr">
        <is>
          <t>Alerta</t>
        </is>
      </c>
      <c r="I7" s="27" t="inlineStr">
        <is>
          <t>Observações</t>
        </is>
      </c>
    </row>
    <row r="8" ht="18" customHeight="1">
      <c r="A8" s="28" t="inlineStr">
        <is>
          <t>Boas-vindas e apresentação da cultura, missão e valores da empresa</t>
        </is>
      </c>
      <c r="B8" s="30" t="inlineStr">
        <is>
          <t>Dia 1</t>
        </is>
      </c>
      <c r="C8" s="39" t="n">
        <v>0</v>
      </c>
      <c r="D8" s="30" t="inlineStr">
        <is>
          <t>RH</t>
        </is>
      </c>
      <c r="E8" s="28">
        <f>IF($A8="","",$B$4)</f>
        <v/>
      </c>
      <c r="F8" s="29">
        <f>IF(OR($A8="",$C8=""),"",$B$5+$C8)</f>
        <v/>
      </c>
      <c r="G8" s="30" t="inlineStr">
        <is>
          <t>OK</t>
        </is>
      </c>
      <c r="H8" s="28">
        <f>IF($A8="","",IF($G8="OK","Concluído",IF($G8="N/A","Não se aplica",IF($F8="","Informar prazo",IF($F8&lt;TODAY(),"Atrasado",IF($F8-TODAY()&lt;=7,"Atenção: "&amp;IF(($F8-TODAY())=0,"hoje",IF(($F8-TODAY())=1,"amanhã","em "&amp;($F8-TODAY())&amp;" dias")),"No prazo"))))))</f>
        <v/>
      </c>
      <c r="I8" s="28" t="inlineStr">
        <is>
          <t>Apresentação institucional e visita às áreas da filial</t>
        </is>
      </c>
    </row>
    <row r="9" ht="18" customHeight="1">
      <c r="A9" s="28" t="inlineStr">
        <is>
          <t>Apresentação ao gestor e à equipe</t>
        </is>
      </c>
      <c r="B9" s="30" t="inlineStr">
        <is>
          <t>Dia 1</t>
        </is>
      </c>
      <c r="C9" s="39" t="n">
        <v>0</v>
      </c>
      <c r="D9" s="30" t="inlineStr">
        <is>
          <t>Gestor</t>
        </is>
      </c>
      <c r="E9" s="28">
        <f>IF($A9="","",$B$4)</f>
        <v/>
      </c>
      <c r="F9" s="29">
        <f>IF(OR($A9="",$C9=""),"",$B$5+$C9)</f>
        <v/>
      </c>
      <c r="G9" s="30" t="inlineStr">
        <is>
          <t>OK</t>
        </is>
      </c>
      <c r="H9" s="28">
        <f>IF($A9="","",IF($G9="OK","Concluído",IF($G9="N/A","Não se aplica",IF($F9="","Informar prazo",IF($F9&lt;TODAY(),"Atrasado",IF($F9-TODAY()&lt;=7,"Atenção: "&amp;IF(($F9-TODAY())=0,"hoje",IF(($F9-TODAY())=1,"amanhã","em "&amp;($F9-TODAY())&amp;" dias")),"No prazo"))))))</f>
        <v/>
      </c>
      <c r="I9" s="28" t="n"/>
    </row>
    <row r="10" ht="18" customHeight="1">
      <c r="A10" s="28" t="inlineStr">
        <is>
          <t>Entrega de EPI e uniforme (quando aplicável), com registro na ficha de EPI</t>
        </is>
      </c>
      <c r="B10" s="30" t="inlineStr">
        <is>
          <t>Dia 1</t>
        </is>
      </c>
      <c r="C10" s="39" t="n">
        <v>0</v>
      </c>
      <c r="D10" s="30" t="inlineStr">
        <is>
          <t>SESMT</t>
        </is>
      </c>
      <c r="E10" s="28">
        <f>IF($A10="","",$B$4)</f>
        <v/>
      </c>
      <c r="F10" s="29">
        <f>IF(OR($A10="",$C10=""),"",$B$5+$C10)</f>
        <v/>
      </c>
      <c r="G10" s="30" t="inlineStr">
        <is>
          <t>N/A</t>
        </is>
      </c>
      <c r="H10" s="28">
        <f>IF($A10="","",IF($G10="OK","Concluído",IF($G10="N/A","Não se aplica",IF($F10="","Informar prazo",IF($F10&lt;TODAY(),"Atrasado",IF($F10-TODAY()&lt;=7,"Atenção: "&amp;IF(($F10-TODAY())=0,"hoje",IF(($F10-TODAY())=1,"amanhã","em "&amp;($F10-TODAY())&amp;" dias")),"No prazo"))))))</f>
        <v/>
      </c>
      <c r="I10" s="28" t="inlineStr">
        <is>
          <t>Função administrativa: sem EPI previsto no PGR</t>
        </is>
      </c>
    </row>
    <row r="11" ht="18" customHeight="1">
      <c r="A11" s="28" t="inlineStr">
        <is>
          <t>Treinamento de segurança do trabalho: riscos da função, normas internas e rotas de fuga</t>
        </is>
      </c>
      <c r="B11" s="30" t="inlineStr">
        <is>
          <t>Dia 1</t>
        </is>
      </c>
      <c r="C11" s="39" t="n">
        <v>0</v>
      </c>
      <c r="D11" s="30" t="inlineStr">
        <is>
          <t>SESMT</t>
        </is>
      </c>
      <c r="E11" s="28">
        <f>IF($A11="","",$B$4)</f>
        <v/>
      </c>
      <c r="F11" s="29">
        <f>IF(OR($A11="",$C11=""),"",$B$5+$C11)</f>
        <v/>
      </c>
      <c r="G11" s="30" t="inlineStr">
        <is>
          <t>OK</t>
        </is>
      </c>
      <c r="H11" s="28">
        <f>IF($A11="","",IF($G11="OK","Concluído",IF($G11="N/A","Não se aplica",IF($F11="","Informar prazo",IF($F11&lt;TODAY(),"Atrasado",IF($F11-TODAY()&lt;=7,"Atenção: "&amp;IF(($F11-TODAY())=0,"hoje",IF(($F11-TODAY())=1,"amanhã","em "&amp;($F11-TODAY())&amp;" dias")),"No prazo"))))))</f>
        <v/>
      </c>
      <c r="I11" s="28" t="n"/>
    </row>
    <row r="12" ht="18" customHeight="1">
      <c r="A12" s="28" t="inlineStr">
        <is>
          <t>Liberação de acessos: e-mail, sistemas internos e cadastro no ponto eletrônico</t>
        </is>
      </c>
      <c r="B12" s="30" t="inlineStr">
        <is>
          <t>Dia 1</t>
        </is>
      </c>
      <c r="C12" s="39" t="n">
        <v>0</v>
      </c>
      <c r="D12" s="30" t="inlineStr">
        <is>
          <t>Gestor</t>
        </is>
      </c>
      <c r="E12" s="28">
        <f>IF($A12="","",$B$4)</f>
        <v/>
      </c>
      <c r="F12" s="29">
        <f>IF(OR($A12="",$C12=""),"",$B$5+$C12)</f>
        <v/>
      </c>
      <c r="G12" s="30" t="inlineStr">
        <is>
          <t>OK</t>
        </is>
      </c>
      <c r="H12" s="28">
        <f>IF($A12="","",IF($G12="OK","Concluído",IF($G12="N/A","Não se aplica",IF($F12="","Informar prazo",IF($F12&lt;TODAY(),"Atrasado",IF($F12-TODAY()&lt;=7,"Atenção: "&amp;IF(($F12-TODAY())=0,"hoje",IF(($F12-TODAY())=1,"amanhã","em "&amp;($F12-TODAY())&amp;" dias")),"No prazo"))))))</f>
        <v/>
      </c>
      <c r="I12" s="28" t="n"/>
    </row>
    <row r="13" ht="18" customHeight="1">
      <c r="A13" s="28" t="inlineStr">
        <is>
          <t>Explicação de ponto, holerite, benefícios e canais de atendimento do RH</t>
        </is>
      </c>
      <c r="B13" s="30" t="inlineStr">
        <is>
          <t>Primeira semana</t>
        </is>
      </c>
      <c r="C13" s="39" t="n">
        <v>3</v>
      </c>
      <c r="D13" s="30" t="inlineStr">
        <is>
          <t>RH</t>
        </is>
      </c>
      <c r="E13" s="28">
        <f>IF($A13="","",$B$4)</f>
        <v/>
      </c>
      <c r="F13" s="29">
        <f>IF(OR($A13="",$C13=""),"",$B$5+$C13)</f>
        <v/>
      </c>
      <c r="G13" s="30" t="inlineStr">
        <is>
          <t>Pendente</t>
        </is>
      </c>
      <c r="H13" s="28">
        <f>IF($A13="","",IF($G13="OK","Concluído",IF($G13="N/A","Não se aplica",IF($F13="","Informar prazo",IF($F13&lt;TODAY(),"Atrasado",IF($F13-TODAY()&lt;=7,"Atenção: "&amp;IF(($F13-TODAY())=0,"hoje",IF(($F13-TODAY())=1,"amanhã","em "&amp;($F13-TODAY())&amp;" dias")),"No prazo"))))))</f>
        <v/>
      </c>
      <c r="I13" s="28" t="inlineStr">
        <is>
          <t>Remarcar: conflito com treinamento externo</t>
        </is>
      </c>
    </row>
    <row r="14" ht="18" customHeight="1">
      <c r="A14" s="28" t="inlineStr">
        <is>
          <t>Conversa de acompanhamento de 30 dias (adaptação, dúvidas e clima)</t>
        </is>
      </c>
      <c r="B14" s="30" t="inlineStr">
        <is>
          <t>30 dias</t>
        </is>
      </c>
      <c r="C14" s="39" t="n">
        <v>30</v>
      </c>
      <c r="D14" s="30" t="inlineStr">
        <is>
          <t>RH</t>
        </is>
      </c>
      <c r="E14" s="28">
        <f>IF($A14="","",$B$4)</f>
        <v/>
      </c>
      <c r="F14" s="29">
        <f>IF(OR($A14="",$C14=""),"",$B$5+$C14)</f>
        <v/>
      </c>
      <c r="G14" s="30" t="inlineStr">
        <is>
          <t>Pendente</t>
        </is>
      </c>
      <c r="H14" s="28">
        <f>IF($A14="","",IF($G14="OK","Concluído",IF($G14="N/A","Não se aplica",IF($F14="","Informar prazo",IF($F14&lt;TODAY(),"Atrasado",IF($F14-TODAY()&lt;=7,"Atenção: "&amp;IF(($F14-TODAY())=0,"hoje",IF(($F14-TODAY())=1,"amanhã","em "&amp;($F14-TODAY())&amp;" dias")),"No prazo"))))))</f>
        <v/>
      </c>
      <c r="I14" s="28" t="n"/>
    </row>
    <row r="15" ht="18" customHeight="1">
      <c r="A15" s="28" t="inlineStr">
        <is>
          <t>Avaliação do 1º período do contrato de experiência (45 dias)</t>
        </is>
      </c>
      <c r="B15" s="30" t="inlineStr">
        <is>
          <t>45 dias</t>
        </is>
      </c>
      <c r="C15" s="39" t="n">
        <v>40</v>
      </c>
      <c r="D15" s="30" t="inlineStr">
        <is>
          <t>Gestor</t>
        </is>
      </c>
      <c r="E15" s="28">
        <f>IF($A15="","",$B$4)</f>
        <v/>
      </c>
      <c r="F15" s="29">
        <f>IF(OR($A15="",$C15=""),"",$B$5+$C15)</f>
        <v/>
      </c>
      <c r="G15" s="30" t="inlineStr">
        <is>
          <t>Pendente</t>
        </is>
      </c>
      <c r="H15" s="28">
        <f>IF($A15="","",IF($G15="OK","Concluído",IF($G15="N/A","Não se aplica",IF($F15="","Informar prazo",IF($F15&lt;TODAY(),"Atrasado",IF($F15-TODAY()&lt;=7,"Atenção: "&amp;IF(($F15-TODAY())=0,"hoje",IF(($F15-TODAY())=1,"amanhã","em "&amp;($F15-TODAY())&amp;" dias")),"No prazo"))))))</f>
        <v/>
      </c>
      <c r="I15" s="28" t="inlineStr">
        <is>
          <t>Concluir antes do 45º dia para decidir a prorrogação</t>
        </is>
      </c>
    </row>
    <row r="16" ht="18" customHeight="1">
      <c r="A16" s="28" t="inlineStr">
        <is>
          <t>Feedback de meio de período com o gestor (60 dias)</t>
        </is>
      </c>
      <c r="B16" s="30" t="inlineStr">
        <is>
          <t>60 dias</t>
        </is>
      </c>
      <c r="C16" s="39" t="n">
        <v>60</v>
      </c>
      <c r="D16" s="30" t="inlineStr">
        <is>
          <t>Gestor</t>
        </is>
      </c>
      <c r="E16" s="28">
        <f>IF($A16="","",$B$4)</f>
        <v/>
      </c>
      <c r="F16" s="29">
        <f>IF(OR($A16="",$C16=""),"",$B$5+$C16)</f>
        <v/>
      </c>
      <c r="G16" s="30" t="inlineStr">
        <is>
          <t>Pendente</t>
        </is>
      </c>
      <c r="H16" s="28">
        <f>IF($A16="","",IF($G16="OK","Concluído",IF($G16="N/A","Não se aplica",IF($F16="","Informar prazo",IF($F16&lt;TODAY(),"Atrasado",IF($F16-TODAY()&lt;=7,"Atenção: "&amp;IF(($F16-TODAY())=0,"hoje",IF(($F16-TODAY())=1,"amanhã","em "&amp;($F16-TODAY())&amp;" dias")),"No prazo"))))))</f>
        <v/>
      </c>
      <c r="I16" s="28" t="n"/>
    </row>
    <row r="17" ht="18" customHeight="1">
      <c r="A17" s="28" t="inlineStr">
        <is>
          <t>Avaliação final do contrato de experiência (90 dias) — decisão de efetivação</t>
        </is>
      </c>
      <c r="B17" s="30" t="inlineStr">
        <is>
          <t>90 dias</t>
        </is>
      </c>
      <c r="C17" s="39" t="n">
        <v>80</v>
      </c>
      <c r="D17" s="30" t="inlineStr">
        <is>
          <t>Gestor</t>
        </is>
      </c>
      <c r="E17" s="28">
        <f>IF($A17="","",$B$4)</f>
        <v/>
      </c>
      <c r="F17" s="29">
        <f>IF(OR($A17="",$C17=""),"",$B$5+$C17)</f>
        <v/>
      </c>
      <c r="G17" s="30" t="inlineStr">
        <is>
          <t>Pendente</t>
        </is>
      </c>
      <c r="H17" s="28">
        <f>IF($A17="","",IF($G17="OK","Concluído",IF($G17="N/A","Não se aplica",IF($F17="","Informar prazo",IF($F17&lt;TODAY(),"Atrasado",IF($F17-TODAY()&lt;=7,"Atenção: "&amp;IF(($F17-TODAY())=0,"hoje",IF(($F17-TODAY())=1,"amanhã","em "&amp;($F17-TODAY())&amp;" dias")),"No prazo"))))))</f>
        <v/>
      </c>
      <c r="I17" s="28" t="inlineStr">
        <is>
          <t>Com apoio do RH; concluir antes do 90º dia</t>
        </is>
      </c>
    </row>
    <row r="18" ht="18" customHeight="1">
      <c r="A18" s="28" t="n"/>
      <c r="B18" s="30" t="n"/>
      <c r="C18" s="39" t="n"/>
      <c r="D18" s="30" t="n"/>
      <c r="E18" s="28">
        <f>IF($A18="","",$B$4)</f>
        <v/>
      </c>
      <c r="F18" s="29">
        <f>IF(OR($A18="",$C18=""),"",$B$5+$C18)</f>
        <v/>
      </c>
      <c r="G18" s="30" t="n"/>
      <c r="H18" s="28">
        <f>IF($A18="","",IF($G18="OK","Concluído",IF($G18="N/A","Não se aplica",IF($F18="","Informar prazo",IF($F18&lt;TODAY(),"Atrasado",IF($F18-TODAY()&lt;=7,"Atenção: "&amp;IF(($F18-TODAY())=0,"hoje",IF(($F18-TODAY())=1,"amanhã","em "&amp;($F18-TODAY())&amp;" dias")),"No prazo"))))))</f>
        <v/>
      </c>
      <c r="I18" s="28" t="n"/>
    </row>
    <row r="19" ht="18" customHeight="1">
      <c r="A19" s="28" t="n"/>
      <c r="B19" s="30" t="n"/>
      <c r="C19" s="39" t="n"/>
      <c r="D19" s="30" t="n"/>
      <c r="E19" s="28">
        <f>IF($A19="","",$B$4)</f>
        <v/>
      </c>
      <c r="F19" s="29">
        <f>IF(OR($A19="",$C19=""),"",$B$5+$C19)</f>
        <v/>
      </c>
      <c r="G19" s="30" t="n"/>
      <c r="H19" s="28">
        <f>IF($A19="","",IF($G19="OK","Concluído",IF($G19="N/A","Não se aplica",IF($F19="","Informar prazo",IF($F19&lt;TODAY(),"Atrasado",IF($F19-TODAY()&lt;=7,"Atenção: "&amp;IF(($F19-TODAY())=0,"hoje",IF(($F19-TODAY())=1,"amanhã","em "&amp;($F19-TODAY())&amp;" dias")),"No prazo"))))))</f>
        <v/>
      </c>
      <c r="I19" s="28" t="n"/>
    </row>
    <row r="20" ht="18" customHeight="1">
      <c r="A20" s="28" t="n"/>
      <c r="B20" s="30" t="n"/>
      <c r="C20" s="39" t="n"/>
      <c r="D20" s="30" t="n"/>
      <c r="E20" s="28">
        <f>IF($A20="","",$B$4)</f>
        <v/>
      </c>
      <c r="F20" s="29">
        <f>IF(OR($A20="",$C20=""),"",$B$5+$C20)</f>
        <v/>
      </c>
      <c r="G20" s="30" t="n"/>
      <c r="H20" s="28">
        <f>IF($A20="","",IF($G20="OK","Concluído",IF($G20="N/A","Não se aplica",IF($F20="","Informar prazo",IF($F20&lt;TODAY(),"Atrasado",IF($F20-TODAY()&lt;=7,"Atenção: "&amp;IF(($F20-TODAY())=0,"hoje",IF(($F20-TODAY())=1,"amanhã","em "&amp;($F20-TODAY())&amp;" dias")),"No prazo"))))))</f>
        <v/>
      </c>
      <c r="I20" s="28" t="n"/>
    </row>
    <row r="21" ht="18" customHeight="1">
      <c r="A21" s="28" t="n"/>
      <c r="B21" s="30" t="n"/>
      <c r="C21" s="39" t="n"/>
      <c r="D21" s="30" t="n"/>
      <c r="E21" s="28">
        <f>IF($A21="","",$B$4)</f>
        <v/>
      </c>
      <c r="F21" s="29">
        <f>IF(OR($A21="",$C21=""),"",$B$5+$C21)</f>
        <v/>
      </c>
      <c r="G21" s="30" t="n"/>
      <c r="H21" s="28">
        <f>IF($A21="","",IF($G21="OK","Concluído",IF($G21="N/A","Não se aplica",IF($F21="","Informar prazo",IF($F21&lt;TODAY(),"Atrasado",IF($F21-TODAY()&lt;=7,"Atenção: "&amp;IF(($F21-TODAY())=0,"hoje",IF(($F21-TODAY())=1,"amanhã","em "&amp;($F21-TODAY())&amp;" dias")),"No prazo"))))))</f>
        <v/>
      </c>
      <c r="I21" s="28" t="n"/>
    </row>
    <row r="23" ht="20" customHeight="1">
      <c r="A23" s="33" t="inlineStr">
        <is>
          <t>Como usar</t>
        </is>
      </c>
    </row>
    <row r="24" ht="16.5" customHeight="1">
      <c r="A24" s="34" t="inlineStr">
        <is>
          <t>• Altere o nome e a data de início no topo da aba: a coluna “Para quem” e todas as datas previstas são recalculadas.</t>
        </is>
      </c>
    </row>
    <row r="25" ht="29" customHeight="1">
      <c r="A25" s="34" t="inlineStr">
        <is>
          <t>• Prazo em dias corridos a partir do primeiro dia de trabalho (D+0). Alerta: Atrasado (data passou sem conclusão) · Atenção (próximos 7 dias) · No prazo.</t>
        </is>
      </c>
    </row>
    <row r="26" ht="16.5" customHeight="1">
      <c r="A26" s="34" t="inlineStr">
        <is>
          <t>• As avaliações do contrato de experiência devem acontecer antes do fim de cada período (45º e 90º dia) para decidir a prorrogação ou a efetivação.</t>
        </is>
      </c>
    </row>
    <row r="27" ht="16.5" customHeight="1">
      <c r="A27" s="34" t="inlineStr">
        <is>
          <t>• Responsável: RH, Gestor ou SESMT (segurança e saúde no trabalho).</t>
        </is>
      </c>
    </row>
  </sheetData>
  <autoFilter ref="A7:I21"/>
  <mergeCells count="5">
    <mergeCell ref="A26:E26"/>
    <mergeCell ref="A24:E24"/>
    <mergeCell ref="A25:E25"/>
    <mergeCell ref="B4:D4"/>
    <mergeCell ref="A27:E27"/>
  </mergeCells>
  <conditionalFormatting sqref="H8:H21">
    <cfRule type="expression" priority="1" dxfId="0">
      <formula>$H8="Atrasado"</formula>
    </cfRule>
    <cfRule type="expression" priority="2" dxfId="1">
      <formula>OR(LEFT($H8,7)="Atenção",LEFT($H8,8)="Informar")</formula>
    </cfRule>
    <cfRule type="expression" priority="3" dxfId="2">
      <formula>$H8="Concluído"</formula>
    </cfRule>
    <cfRule type="expression" priority="4" dxfId="5">
      <formula>$H8="Não se aplica"</formula>
    </cfRule>
  </conditionalFormatting>
  <conditionalFormatting sqref="G8:G21">
    <cfRule type="expression" priority="5" dxfId="3">
      <formula>G8="OK"</formula>
    </cfRule>
    <cfRule type="expression" priority="6" dxfId="4">
      <formula>G8="Pendente"</formula>
    </cfRule>
    <cfRule type="expression" priority="7" dxfId="5">
      <formula>G8="N/A"</formula>
    </cfRule>
  </conditionalFormatting>
  <conditionalFormatting sqref="A8:I21">
    <cfRule type="expression" priority="8" dxfId="6">
      <formula>MOD(ROW(),2)=0</formula>
    </cfRule>
  </conditionalFormatting>
  <dataValidations count="3">
    <dataValidation sqref="B8:B21" showDropDown="0" showInputMessage="0" showErrorMessage="1" allowBlank="1" errorTitle="Valor inválido" error="Escolha um valor da lista." type="list">
      <formula1>"Dia 1,Primeira semana,30 dias,45 dias,60 dias,90 dias"</formula1>
    </dataValidation>
    <dataValidation sqref="D8:D21" showDropDown="0" showInputMessage="0" showErrorMessage="1" allowBlank="1" errorTitle="Valor inválido" error="Escolha um valor da lista." type="list">
      <formula1>"RH,Gestor,SESMT"</formula1>
    </dataValidation>
    <dataValidation sqref="G8:G21" showDropDown="0" showInputMessage="0" showErrorMessage="1" allowBlank="1" errorTitle="Valor inválido" error="Escolha um valor da lista." type="list">
      <formula1>"Pendente,OK,N/A"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P33"/>
  <sheetViews>
    <sheetView tabSelected="0" zoomScale="9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3" customWidth="1" min="5" max="5"/>
    <col width="14" customWidth="1" min="6" max="6"/>
    <col width="10" customWidth="1" min="7" max="7"/>
    <col width="13" customWidth="1" min="8" max="8"/>
    <col width="10" customWidth="1" min="9" max="9"/>
    <col width="13" customWidth="1" min="10" max="10"/>
    <col width="9" customWidth="1" min="11" max="11"/>
    <col width="13" customWidth="1" min="12" max="12"/>
    <col width="14" customWidth="1" min="13" max="13"/>
    <col width="14" customWidth="1" min="14" max="14"/>
    <col width="41" customWidth="1" min="15" max="15"/>
    <col width="46" customWidth="1" min="16" max="16"/>
  </cols>
  <sheetData>
    <row r="1" ht="28" customHeight="1">
      <c r="A1" s="21" t="inlineStr">
        <is>
          <t>Férias — período aquisitivo, limite concessivo e programação</t>
        </is>
      </c>
    </row>
    <row r="2" ht="16" customHeight="1">
      <c r="A2" s="2" t="inlineStr">
        <is>
          <t>Informe a admissão e o fim do último período já quitado: o período vigente, o limite concessivo, os dias de direito e os prazos de aviso e pagamento são calculados.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>
      <c r="A4" s="25" t="inlineStr">
        <is>
          <t>preencher</t>
        </is>
      </c>
      <c r="B4" s="25" t="inlineStr">
        <is>
          <t>preencher</t>
        </is>
      </c>
      <c r="C4" s="25" t="inlineStr">
        <is>
          <t>preencher</t>
        </is>
      </c>
      <c r="D4" s="26" t="inlineStr">
        <is>
          <t>automático</t>
        </is>
      </c>
      <c r="E4" s="26" t="inlineStr">
        <is>
          <t>automático</t>
        </is>
      </c>
      <c r="F4" s="26" t="inlineStr">
        <is>
          <t>automático</t>
        </is>
      </c>
      <c r="G4" s="26" t="inlineStr">
        <is>
          <t>automático</t>
        </is>
      </c>
      <c r="H4" s="25" t="inlineStr">
        <is>
          <t>preencher</t>
        </is>
      </c>
      <c r="I4" s="26" t="inlineStr">
        <is>
          <t>automático</t>
        </is>
      </c>
      <c r="J4" s="25" t="inlineStr">
        <is>
          <t>preencher</t>
        </is>
      </c>
      <c r="K4" s="25" t="inlineStr">
        <is>
          <t>preencher</t>
        </is>
      </c>
      <c r="L4" s="26" t="inlineStr">
        <is>
          <t>automático</t>
        </is>
      </c>
      <c r="M4" s="26" t="inlineStr">
        <is>
          <t>automático</t>
        </is>
      </c>
      <c r="N4" s="26" t="inlineStr">
        <is>
          <t>automático</t>
        </is>
      </c>
      <c r="O4" s="26" t="inlineStr">
        <is>
          <t>automático</t>
        </is>
      </c>
      <c r="P4" s="25" t="inlineStr">
        <is>
          <t>preencher</t>
        </is>
      </c>
    </row>
    <row r="5" ht="70.5" customHeight="1">
      <c r="A5" s="27" t="inlineStr">
        <is>
          <t>Colaborador</t>
        </is>
      </c>
      <c r="B5" s="27" t="inlineStr">
        <is>
          <t>Data de admissão</t>
        </is>
      </c>
      <c r="C5" s="27" t="inlineStr">
        <is>
          <t>Fim do último período aquisitivo quitado (vazio = nenhum)</t>
        </is>
      </c>
      <c r="D5" s="27" t="inlineStr">
        <is>
          <t>Período aquisitivo vigente — início</t>
        </is>
      </c>
      <c r="E5" s="27" t="inlineStr">
        <is>
          <t>Período aquisitivo vigente — fim</t>
        </is>
      </c>
      <c r="F5" s="27" t="inlineStr">
        <is>
          <t>Limite concessivo (fim do aquisitivo + 12 meses)</t>
        </is>
      </c>
      <c r="G5" s="27" t="inlineStr">
        <is>
          <t>Dias para o limite</t>
        </is>
      </c>
      <c r="H5" s="27" t="inlineStr">
        <is>
          <t>Faltas injustificadas no período</t>
        </is>
      </c>
      <c r="I5" s="27" t="inlineStr">
        <is>
          <t>Dias de direito (art. 130)</t>
        </is>
      </c>
      <c r="J5" s="27" t="inlineStr">
        <is>
          <t>Início do gozo programado</t>
        </is>
      </c>
      <c r="K5" s="27" t="inlineStr">
        <is>
          <t>Dias de gozo</t>
        </is>
      </c>
      <c r="L5" s="27" t="inlineStr">
        <is>
          <t>Fim do gozo</t>
        </is>
      </c>
      <c r="M5" s="27" t="inlineStr">
        <is>
          <t>Aviso de férias até (30 dias antes — art. 135)</t>
        </is>
      </c>
      <c r="N5" s="27" t="inlineStr">
        <is>
          <t>Pagamento até (2 dias antes — art. 145)</t>
        </is>
      </c>
      <c r="O5" s="27" t="inlineStr">
        <is>
          <t>Status</t>
        </is>
      </c>
      <c r="P5" s="27" t="inlineStr">
        <is>
          <t>Observações</t>
        </is>
      </c>
    </row>
    <row r="6" ht="18" customHeight="1">
      <c r="A6" s="28" t="inlineStr">
        <is>
          <t>Carlos Eduardo Nunes</t>
        </is>
      </c>
      <c r="B6" s="29" t="n">
        <v>43535</v>
      </c>
      <c r="C6" s="29" t="n">
        <v>45726</v>
      </c>
      <c r="D6" s="29">
        <f>IF(OR($A6="",$B6=""),"",IF($C6="",$B6,$C6+1))</f>
        <v/>
      </c>
      <c r="E6" s="29">
        <f>IF($D6="","",EDATE($D6,12)-1)</f>
        <v/>
      </c>
      <c r="F6" s="29">
        <f>IF($E6="","",EDATE($E6,12))</f>
        <v/>
      </c>
      <c r="G6" s="32">
        <f>IF($F6="","",$F6-TODAY())</f>
        <v/>
      </c>
      <c r="H6" s="32" t="n">
        <v>2</v>
      </c>
      <c r="I6" s="32">
        <f>IF($A6="","",IF(N($H6)&lt;=5,30,IF($H6&lt;=14,24,IF($H6&lt;=23,18,IF($H6&lt;=32,12,0)))))</f>
        <v/>
      </c>
      <c r="J6" s="29" t="n"/>
      <c r="K6" s="32" t="n"/>
      <c r="L6" s="29">
        <f>IF(OR($A6="",$J6=""),"",$J6+IF($K6="",$I6,$K6)-1)</f>
        <v/>
      </c>
      <c r="M6" s="29">
        <f>IF(OR($A6="",$J6=""),"",$J6-30)</f>
        <v/>
      </c>
      <c r="N6" s="29">
        <f>IF(OR($A6="",$J6=""),"",$J6-2)</f>
        <v/>
      </c>
      <c r="O6" s="28">
        <f>IF(OR($A6="",$F6=""),"",IF($J6&lt;&gt;"",IF($L6&gt;$F6,"Fora do prazo — dobra (art. 137)","Programada"),IF($F6&lt;TODAY(),"Vencida — pagamento em dobro (art. 137)",IF($E6&gt;=TODAY(),"Em aquisição",IF($F6-TODAY()&lt;60,"Crítica — menos de 60 dias","Programar")))))</f>
        <v/>
      </c>
      <c r="P6" s="28" t="inlineStr">
        <is>
          <t>Sugerir programação para o 1º trimestre</t>
        </is>
      </c>
    </row>
    <row r="7" ht="18" customHeight="1">
      <c r="A7" s="28" t="inlineStr">
        <is>
          <t>Patrícia Lopes Barbosa</t>
        </is>
      </c>
      <c r="B7" s="29" t="n">
        <v>44410</v>
      </c>
      <c r="C7" s="29" t="n">
        <v>45505</v>
      </c>
      <c r="D7" s="29">
        <f>IF(OR($A7="",$B7=""),"",IF($C7="",$B7,$C7+1))</f>
        <v/>
      </c>
      <c r="E7" s="29">
        <f>IF($D7="","",EDATE($D7,12)-1)</f>
        <v/>
      </c>
      <c r="F7" s="29">
        <f>IF($E7="","",EDATE($E7,12))</f>
        <v/>
      </c>
      <c r="G7" s="32">
        <f>IF($F7="","",$F7-TODAY())</f>
        <v/>
      </c>
      <c r="H7" s="32" t="n">
        <v>0</v>
      </c>
      <c r="I7" s="32">
        <f>IF($A7="","",IF(N($H7)&lt;=5,30,IF($H7&lt;=14,24,IF($H7&lt;=23,18,IF($H7&lt;=32,12,0)))))</f>
        <v/>
      </c>
      <c r="J7" s="29" t="n"/>
      <c r="K7" s="32" t="n"/>
      <c r="L7" s="29">
        <f>IF(OR($A7="",$J7=""),"",$J7+IF($K7="",$I7,$K7)-1)</f>
        <v/>
      </c>
      <c r="M7" s="29">
        <f>IF(OR($A7="",$J7=""),"",$J7-30)</f>
        <v/>
      </c>
      <c r="N7" s="29">
        <f>IF(OR($A7="",$J7=""),"",$J7-2)</f>
        <v/>
      </c>
      <c r="O7" s="28">
        <f>IF(OR($A7="",$F7=""),"",IF($J7&lt;&gt;"",IF($L7&gt;$F7,"Fora do prazo — dobra (art. 137)","Programada"),IF($F7&lt;TODAY(),"Vencida — pagamento em dobro (art. 137)",IF($E7&gt;=TODAY(),"Em aquisição",IF($F7-TODAY()&lt;60,"Crítica — menos de 60 dias","Programar")))))</f>
        <v/>
      </c>
      <c r="P7" s="28" t="inlineStr">
        <is>
          <t>Programar gozo imediato; remuneração em dobro</t>
        </is>
      </c>
    </row>
    <row r="8" ht="18" customHeight="1">
      <c r="A8" s="28" t="inlineStr">
        <is>
          <t>Rodrigo Teixeira Dias</t>
        </is>
      </c>
      <c r="B8" s="29" t="n">
        <v>44900</v>
      </c>
      <c r="C8" s="29" t="n">
        <v>45630</v>
      </c>
      <c r="D8" s="29">
        <f>IF(OR($A8="",$B8=""),"",IF($C8="",$B8,$C8+1))</f>
        <v/>
      </c>
      <c r="E8" s="29">
        <f>IF($D8="","",EDATE($D8,12)-1)</f>
        <v/>
      </c>
      <c r="F8" s="29">
        <f>IF($E8="","",EDATE($E8,12))</f>
        <v/>
      </c>
      <c r="G8" s="32">
        <f>IF($F8="","",$F8-TODAY())</f>
        <v/>
      </c>
      <c r="H8" s="32" t="n">
        <v>7</v>
      </c>
      <c r="I8" s="32">
        <f>IF($A8="","",IF(N($H8)&lt;=5,30,IF($H8&lt;=14,24,IF($H8&lt;=23,18,IF($H8&lt;=32,12,0)))))</f>
        <v/>
      </c>
      <c r="J8" s="29" t="n"/>
      <c r="K8" s="32" t="n"/>
      <c r="L8" s="29">
        <f>IF(OR($A8="",$J8=""),"",$J8+IF($K8="",$I8,$K8)-1)</f>
        <v/>
      </c>
      <c r="M8" s="29">
        <f>IF(OR($A8="",$J8=""),"",$J8-30)</f>
        <v/>
      </c>
      <c r="N8" s="29">
        <f>IF(OR($A8="",$J8=""),"",$J8-2)</f>
        <v/>
      </c>
      <c r="O8" s="28">
        <f>IF(OR($A8="",$F8=""),"",IF($J8&lt;&gt;"",IF($L8&gt;$F8,"Fora do prazo — dobra (art. 137)","Programada"),IF($F8&lt;TODAY(),"Vencida — pagamento em dobro (art. 137)",IF($E8&gt;=TODAY(),"Em aquisição",IF($F8-TODAY()&lt;60,"Crítica — menos de 60 dias","Programar")))))</f>
        <v/>
      </c>
      <c r="P8" s="28" t="inlineStr">
        <is>
          <t>7 faltas injustificadas: direito reduzido para 24 dias</t>
        </is>
      </c>
    </row>
    <row r="9" ht="18" customHeight="1">
      <c r="A9" s="28" t="inlineStr">
        <is>
          <t>Aline Moreira Castro</t>
        </is>
      </c>
      <c r="B9" s="29" t="n">
        <v>43843</v>
      </c>
      <c r="C9" s="29" t="n">
        <v>45669</v>
      </c>
      <c r="D9" s="29">
        <f>IF(OR($A9="",$B9=""),"",IF($C9="",$B9,$C9+1))</f>
        <v/>
      </c>
      <c r="E9" s="29">
        <f>IF($D9="","",EDATE($D9,12)-1)</f>
        <v/>
      </c>
      <c r="F9" s="29">
        <f>IF($E9="","",EDATE($E9,12))</f>
        <v/>
      </c>
      <c r="G9" s="32">
        <f>IF($F9="","",$F9-TODAY())</f>
        <v/>
      </c>
      <c r="H9" s="32" t="n">
        <v>0</v>
      </c>
      <c r="I9" s="32">
        <f>IF($A9="","",IF(N($H9)&lt;=5,30,IF($H9&lt;=14,24,IF($H9&lt;=23,18,IF($H9&lt;=32,12,0)))))</f>
        <v/>
      </c>
      <c r="J9" s="29" t="n">
        <v>46342</v>
      </c>
      <c r="K9" s="32" t="n">
        <v>30</v>
      </c>
      <c r="L9" s="29">
        <f>IF(OR($A9="",$J9=""),"",$J9+IF($K9="",$I9,$K9)-1)</f>
        <v/>
      </c>
      <c r="M9" s="29">
        <f>IF(OR($A9="",$J9=""),"",$J9-30)</f>
        <v/>
      </c>
      <c r="N9" s="29">
        <f>IF(OR($A9="",$J9=""),"",$J9-2)</f>
        <v/>
      </c>
      <c r="O9" s="28">
        <f>IF(OR($A9="",$F9=""),"",IF($J9&lt;&gt;"",IF($L9&gt;$F9,"Fora do prazo — dobra (art. 137)","Programada"),IF($F9&lt;TODAY(),"Vencida — pagamento em dobro (art. 137)",IF($E9&gt;=TODAY(),"Em aquisição",IF($F9-TODAY()&lt;60,"Crítica — menos de 60 dias","Programar")))))</f>
        <v/>
      </c>
      <c r="P9" s="28" t="inlineStr">
        <is>
          <t>Aviso entregue em 15/10</t>
        </is>
      </c>
    </row>
    <row r="10" ht="18" customHeight="1">
      <c r="A10" s="28" t="inlineStr">
        <is>
          <t>Thiago Barros Cardoso</t>
        </is>
      </c>
      <c r="B10" s="29" t="n">
        <v>43241</v>
      </c>
      <c r="C10" s="29" t="n">
        <v>45797</v>
      </c>
      <c r="D10" s="29">
        <f>IF(OR($A10="",$B10=""),"",IF($C10="",$B10,$C10+1))</f>
        <v/>
      </c>
      <c r="E10" s="29">
        <f>IF($D10="","",EDATE($D10,12)-1)</f>
        <v/>
      </c>
      <c r="F10" s="29">
        <f>IF($E10="","",EDATE($E10,12))</f>
        <v/>
      </c>
      <c r="G10" s="32">
        <f>IF($F10="","",$F10-TODAY())</f>
        <v/>
      </c>
      <c r="H10" s="32" t="n">
        <v>1</v>
      </c>
      <c r="I10" s="32">
        <f>IF($A10="","",IF(N($H10)&lt;=5,30,IF($H10&lt;=14,24,IF($H10&lt;=23,18,IF($H10&lt;=32,12,0)))))</f>
        <v/>
      </c>
      <c r="J10" s="29" t="n">
        <v>46363</v>
      </c>
      <c r="K10" s="32" t="n">
        <v>20</v>
      </c>
      <c r="L10" s="29">
        <f>IF(OR($A10="",$J10=""),"",$J10+IF($K10="",$I10,$K10)-1)</f>
        <v/>
      </c>
      <c r="M10" s="29">
        <f>IF(OR($A10="",$J10=""),"",$J10-30)</f>
        <v/>
      </c>
      <c r="N10" s="29">
        <f>IF(OR($A10="",$J10=""),"",$J10-2)</f>
        <v/>
      </c>
      <c r="O10" s="28">
        <f>IF(OR($A10="",$F10=""),"",IF($J10&lt;&gt;"",IF($L10&gt;$F10,"Fora do prazo — dobra (art. 137)","Programada"),IF($F10&lt;TODAY(),"Vencida — pagamento em dobro (art. 137)",IF($E10&gt;=TODAY(),"Em aquisição",IF($F10-TODAY()&lt;60,"Crítica — menos de 60 dias","Programar")))))</f>
        <v/>
      </c>
      <c r="P10" s="28" t="inlineStr">
        <is>
          <t>Fracionamento 20 + 10 dias, com concordância do empregado (art. 134, §1º)</t>
        </is>
      </c>
    </row>
    <row r="11" ht="18" customHeight="1">
      <c r="A11" s="28" t="inlineStr">
        <is>
          <t>Gabriel Martins Rocha</t>
        </is>
      </c>
      <c r="B11" s="29" t="n">
        <v>43062</v>
      </c>
      <c r="C11" s="29" t="n">
        <v>45618</v>
      </c>
      <c r="D11" s="29">
        <f>IF(OR($A11="",$B11=""),"",IF($C11="",$B11,$C11+1))</f>
        <v/>
      </c>
      <c r="E11" s="29">
        <f>IF($D11="","",EDATE($D11,12)-1)</f>
        <v/>
      </c>
      <c r="F11" s="29">
        <f>IF($E11="","",EDATE($E11,12))</f>
        <v/>
      </c>
      <c r="G11" s="32">
        <f>IF($F11="","",$F11-TODAY())</f>
        <v/>
      </c>
      <c r="H11" s="32" t="n">
        <v>0</v>
      </c>
      <c r="I11" s="32">
        <f>IF($A11="","",IF(N($H11)&lt;=5,30,IF($H11&lt;=14,24,IF($H11&lt;=23,18,IF($H11&lt;=32,12,0)))))</f>
        <v/>
      </c>
      <c r="J11" s="29" t="n">
        <v>46329</v>
      </c>
      <c r="K11" s="32" t="n">
        <v>30</v>
      </c>
      <c r="L11" s="29">
        <f>IF(OR($A11="",$J11=""),"",$J11+IF($K11="",$I11,$K11)-1)</f>
        <v/>
      </c>
      <c r="M11" s="29">
        <f>IF(OR($A11="",$J11=""),"",$J11-30)</f>
        <v/>
      </c>
      <c r="N11" s="29">
        <f>IF(OR($A11="",$J11=""),"",$J11-2)</f>
        <v/>
      </c>
      <c r="O11" s="28">
        <f>IF(OR($A11="",$F11=""),"",IF($J11&lt;&gt;"",IF($L11&gt;$F11,"Fora do prazo — dobra (art. 137)","Programada"),IF($F11&lt;TODAY(),"Vencida — pagamento em dobro (art. 137)",IF($E11&gt;=TODAY(),"Em aquisição",IF($F11-TODAY()&lt;60,"Crítica — menos de 60 dias","Programar")))))</f>
        <v/>
      </c>
      <c r="P11" s="28" t="inlineStr">
        <is>
          <t>Gozo ultrapassa o limite: antecipar o início ou fracionar</t>
        </is>
      </c>
    </row>
    <row r="12" ht="18" customHeight="1">
      <c r="A12" s="28" t="inlineStr">
        <is>
          <t>Diego Fernandes Araújo</t>
        </is>
      </c>
      <c r="B12" s="29" t="n">
        <v>45936</v>
      </c>
      <c r="C12" s="29" t="n"/>
      <c r="D12" s="29">
        <f>IF(OR($A12="",$B12=""),"",IF($C12="",$B12,$C12+1))</f>
        <v/>
      </c>
      <c r="E12" s="29">
        <f>IF($D12="","",EDATE($D12,12)-1)</f>
        <v/>
      </c>
      <c r="F12" s="29">
        <f>IF($E12="","",EDATE($E12,12))</f>
        <v/>
      </c>
      <c r="G12" s="32">
        <f>IF($F12="","",$F12-TODAY())</f>
        <v/>
      </c>
      <c r="H12" s="32" t="n">
        <v>3</v>
      </c>
      <c r="I12" s="32">
        <f>IF($A12="","",IF(N($H12)&lt;=5,30,IF($H12&lt;=14,24,IF($H12&lt;=23,18,IF($H12&lt;=32,12,0)))))</f>
        <v/>
      </c>
      <c r="J12" s="29" t="n"/>
      <c r="K12" s="32" t="n"/>
      <c r="L12" s="29">
        <f>IF(OR($A12="",$J12=""),"",$J12+IF($K12="",$I12,$K12)-1)</f>
        <v/>
      </c>
      <c r="M12" s="29">
        <f>IF(OR($A12="",$J12=""),"",$J12-30)</f>
        <v/>
      </c>
      <c r="N12" s="29">
        <f>IF(OR($A12="",$J12=""),"",$J12-2)</f>
        <v/>
      </c>
      <c r="O12" s="28">
        <f>IF(OR($A12="",$F12=""),"",IF($J12&lt;&gt;"",IF($L12&gt;$F12,"Fora do prazo — dobra (art. 137)","Programada"),IF($F12&lt;TODAY(),"Vencida — pagamento em dobro (art. 137)",IF($E12&gt;=TODAY(),"Em aquisição",IF($F12-TODAY()&lt;60,"Crítica — menos de 60 dias","Programar")))))</f>
        <v/>
      </c>
      <c r="P12" s="28" t="inlineStr">
        <is>
          <t>Primeiras férias</t>
        </is>
      </c>
    </row>
    <row r="13" ht="18" customHeight="1">
      <c r="A13" s="28" t="inlineStr">
        <is>
          <t>Mariana Costa Ribeiro</t>
        </is>
      </c>
      <c r="B13" s="29" t="n">
        <v>46293</v>
      </c>
      <c r="C13" s="29" t="n"/>
      <c r="D13" s="29">
        <f>IF(OR($A13="",$B13=""),"",IF($C13="",$B13,$C13+1))</f>
        <v/>
      </c>
      <c r="E13" s="29">
        <f>IF($D13="","",EDATE($D13,12)-1)</f>
        <v/>
      </c>
      <c r="F13" s="29">
        <f>IF($E13="","",EDATE($E13,12))</f>
        <v/>
      </c>
      <c r="G13" s="32">
        <f>IF($F13="","",$F13-TODAY())</f>
        <v/>
      </c>
      <c r="H13" s="32" t="n">
        <v>0</v>
      </c>
      <c r="I13" s="32">
        <f>IF($A13="","",IF(N($H13)&lt;=5,30,IF($H13&lt;=14,24,IF($H13&lt;=23,18,IF($H13&lt;=32,12,0)))))</f>
        <v/>
      </c>
      <c r="J13" s="29" t="n"/>
      <c r="K13" s="32" t="n"/>
      <c r="L13" s="29">
        <f>IF(OR($A13="",$J13=""),"",$J13+IF($K13="",$I13,$K13)-1)</f>
        <v/>
      </c>
      <c r="M13" s="29">
        <f>IF(OR($A13="",$J13=""),"",$J13-30)</f>
        <v/>
      </c>
      <c r="N13" s="29">
        <f>IF(OR($A13="",$J13=""),"",$J13-2)</f>
        <v/>
      </c>
      <c r="O13" s="28">
        <f>IF(OR($A13="",$F13=""),"",IF($J13&lt;&gt;"",IF($L13&gt;$F13,"Fora do prazo — dobra (art. 137)","Programada"),IF($F13&lt;TODAY(),"Vencida — pagamento em dobro (art. 137)",IF($E13&gt;=TODAY(),"Em aquisição",IF($F13-TODAY()&lt;60,"Crítica — menos de 60 dias","Programar")))))</f>
        <v/>
      </c>
      <c r="P13" s="28" t="inlineStr">
        <is>
          <t>Admitida em setembro/2026</t>
        </is>
      </c>
    </row>
    <row r="14" ht="18" customHeight="1">
      <c r="A14" s="28" t="n"/>
      <c r="B14" s="29" t="n"/>
      <c r="C14" s="29" t="n"/>
      <c r="D14" s="29">
        <f>IF(OR($A14="",$B14=""),"",IF($C14="",$B14,$C14+1))</f>
        <v/>
      </c>
      <c r="E14" s="29">
        <f>IF($D14="","",EDATE($D14,12)-1)</f>
        <v/>
      </c>
      <c r="F14" s="29">
        <f>IF($E14="","",EDATE($E14,12))</f>
        <v/>
      </c>
      <c r="G14" s="32">
        <f>IF($F14="","",$F14-TODAY())</f>
        <v/>
      </c>
      <c r="H14" s="32" t="n"/>
      <c r="I14" s="32">
        <f>IF($A14="","",IF(N($H14)&lt;=5,30,IF($H14&lt;=14,24,IF($H14&lt;=23,18,IF($H14&lt;=32,12,0)))))</f>
        <v/>
      </c>
      <c r="J14" s="29" t="n"/>
      <c r="K14" s="32" t="n"/>
      <c r="L14" s="29">
        <f>IF(OR($A14="",$J14=""),"",$J14+IF($K14="",$I14,$K14)-1)</f>
        <v/>
      </c>
      <c r="M14" s="29">
        <f>IF(OR($A14="",$J14=""),"",$J14-30)</f>
        <v/>
      </c>
      <c r="N14" s="29">
        <f>IF(OR($A14="",$J14=""),"",$J14-2)</f>
        <v/>
      </c>
      <c r="O14" s="28">
        <f>IF(OR($A14="",$F14=""),"",IF($J14&lt;&gt;"",IF($L14&gt;$F14,"Fora do prazo — dobra (art. 137)","Programada"),IF($F14&lt;TODAY(),"Vencida — pagamento em dobro (art. 137)",IF($E14&gt;=TODAY(),"Em aquisição",IF($F14-TODAY()&lt;60,"Crítica — menos de 60 dias","Programar")))))</f>
        <v/>
      </c>
      <c r="P14" s="28" t="n"/>
    </row>
    <row r="15" ht="18" customHeight="1">
      <c r="A15" s="28" t="n"/>
      <c r="B15" s="29" t="n"/>
      <c r="C15" s="29" t="n"/>
      <c r="D15" s="29">
        <f>IF(OR($A15="",$B15=""),"",IF($C15="",$B15,$C15+1))</f>
        <v/>
      </c>
      <c r="E15" s="29">
        <f>IF($D15="","",EDATE($D15,12)-1)</f>
        <v/>
      </c>
      <c r="F15" s="29">
        <f>IF($E15="","",EDATE($E15,12))</f>
        <v/>
      </c>
      <c r="G15" s="32">
        <f>IF($F15="","",$F15-TODAY())</f>
        <v/>
      </c>
      <c r="H15" s="32" t="n"/>
      <c r="I15" s="32">
        <f>IF($A15="","",IF(N($H15)&lt;=5,30,IF($H15&lt;=14,24,IF($H15&lt;=23,18,IF($H15&lt;=32,12,0)))))</f>
        <v/>
      </c>
      <c r="J15" s="29" t="n"/>
      <c r="K15" s="32" t="n"/>
      <c r="L15" s="29">
        <f>IF(OR($A15="",$J15=""),"",$J15+IF($K15="",$I15,$K15)-1)</f>
        <v/>
      </c>
      <c r="M15" s="29">
        <f>IF(OR($A15="",$J15=""),"",$J15-30)</f>
        <v/>
      </c>
      <c r="N15" s="29">
        <f>IF(OR($A15="",$J15=""),"",$J15-2)</f>
        <v/>
      </c>
      <c r="O15" s="28">
        <f>IF(OR($A15="",$F15=""),"",IF($J15&lt;&gt;"",IF($L15&gt;$F15,"Fora do prazo — dobra (art. 137)","Programada"),IF($F15&lt;TODAY(),"Vencida — pagamento em dobro (art. 137)",IF($E15&gt;=TODAY(),"Em aquisição",IF($F15-TODAY()&lt;60,"Crítica — menos de 60 dias","Programar")))))</f>
        <v/>
      </c>
      <c r="P15" s="28" t="n"/>
    </row>
    <row r="16" ht="18" customHeight="1">
      <c r="A16" s="28" t="n"/>
      <c r="B16" s="29" t="n"/>
      <c r="C16" s="29" t="n"/>
      <c r="D16" s="29">
        <f>IF(OR($A16="",$B16=""),"",IF($C16="",$B16,$C16+1))</f>
        <v/>
      </c>
      <c r="E16" s="29">
        <f>IF($D16="","",EDATE($D16,12)-1)</f>
        <v/>
      </c>
      <c r="F16" s="29">
        <f>IF($E16="","",EDATE($E16,12))</f>
        <v/>
      </c>
      <c r="G16" s="32">
        <f>IF($F16="","",$F16-TODAY())</f>
        <v/>
      </c>
      <c r="H16" s="32" t="n"/>
      <c r="I16" s="32">
        <f>IF($A16="","",IF(N($H16)&lt;=5,30,IF($H16&lt;=14,24,IF($H16&lt;=23,18,IF($H16&lt;=32,12,0)))))</f>
        <v/>
      </c>
      <c r="J16" s="29" t="n"/>
      <c r="K16" s="32" t="n"/>
      <c r="L16" s="29">
        <f>IF(OR($A16="",$J16=""),"",$J16+IF($K16="",$I16,$K16)-1)</f>
        <v/>
      </c>
      <c r="M16" s="29">
        <f>IF(OR($A16="",$J16=""),"",$J16-30)</f>
        <v/>
      </c>
      <c r="N16" s="29">
        <f>IF(OR($A16="",$J16=""),"",$J16-2)</f>
        <v/>
      </c>
      <c r="O16" s="28">
        <f>IF(OR($A16="",$F16=""),"",IF($J16&lt;&gt;"",IF($L16&gt;$F16,"Fora do prazo — dobra (art. 137)","Programada"),IF($F16&lt;TODAY(),"Vencida — pagamento em dobro (art. 137)",IF($E16&gt;=TODAY(),"Em aquisição",IF($F16-TODAY()&lt;60,"Crítica — menos de 60 dias","Programar")))))</f>
        <v/>
      </c>
      <c r="P16" s="28" t="n"/>
    </row>
    <row r="17" ht="18" customHeight="1">
      <c r="A17" s="28" t="n"/>
      <c r="B17" s="29" t="n"/>
      <c r="C17" s="29" t="n"/>
      <c r="D17" s="29">
        <f>IF(OR($A17="",$B17=""),"",IF($C17="",$B17,$C17+1))</f>
        <v/>
      </c>
      <c r="E17" s="29">
        <f>IF($D17="","",EDATE($D17,12)-1)</f>
        <v/>
      </c>
      <c r="F17" s="29">
        <f>IF($E17="","",EDATE($E17,12))</f>
        <v/>
      </c>
      <c r="G17" s="32">
        <f>IF($F17="","",$F17-TODAY())</f>
        <v/>
      </c>
      <c r="H17" s="32" t="n"/>
      <c r="I17" s="32">
        <f>IF($A17="","",IF(N($H17)&lt;=5,30,IF($H17&lt;=14,24,IF($H17&lt;=23,18,IF($H17&lt;=32,12,0)))))</f>
        <v/>
      </c>
      <c r="J17" s="29" t="n"/>
      <c r="K17" s="32" t="n"/>
      <c r="L17" s="29">
        <f>IF(OR($A17="",$J17=""),"",$J17+IF($K17="",$I17,$K17)-1)</f>
        <v/>
      </c>
      <c r="M17" s="29">
        <f>IF(OR($A17="",$J17=""),"",$J17-30)</f>
        <v/>
      </c>
      <c r="N17" s="29">
        <f>IF(OR($A17="",$J17=""),"",$J17-2)</f>
        <v/>
      </c>
      <c r="O17" s="28">
        <f>IF(OR($A17="",$F17=""),"",IF($J17&lt;&gt;"",IF($L17&gt;$F17,"Fora do prazo — dobra (art. 137)","Programada"),IF($F17&lt;TODAY(),"Vencida — pagamento em dobro (art. 137)",IF($E17&gt;=TODAY(),"Em aquisição",IF($F17-TODAY()&lt;60,"Crítica — menos de 60 dias","Programar")))))</f>
        <v/>
      </c>
      <c r="P17" s="28" t="n"/>
    </row>
    <row r="18" ht="18" customHeight="1">
      <c r="A18" s="28" t="n"/>
      <c r="B18" s="29" t="n"/>
      <c r="C18" s="29" t="n"/>
      <c r="D18" s="29">
        <f>IF(OR($A18="",$B18=""),"",IF($C18="",$B18,$C18+1))</f>
        <v/>
      </c>
      <c r="E18" s="29">
        <f>IF($D18="","",EDATE($D18,12)-1)</f>
        <v/>
      </c>
      <c r="F18" s="29">
        <f>IF($E18="","",EDATE($E18,12))</f>
        <v/>
      </c>
      <c r="G18" s="32">
        <f>IF($F18="","",$F18-TODAY())</f>
        <v/>
      </c>
      <c r="H18" s="32" t="n"/>
      <c r="I18" s="32">
        <f>IF($A18="","",IF(N($H18)&lt;=5,30,IF($H18&lt;=14,24,IF($H18&lt;=23,18,IF($H18&lt;=32,12,0)))))</f>
        <v/>
      </c>
      <c r="J18" s="29" t="n"/>
      <c r="K18" s="32" t="n"/>
      <c r="L18" s="29">
        <f>IF(OR($A18="",$J18=""),"",$J18+IF($K18="",$I18,$K18)-1)</f>
        <v/>
      </c>
      <c r="M18" s="29">
        <f>IF(OR($A18="",$J18=""),"",$J18-30)</f>
        <v/>
      </c>
      <c r="N18" s="29">
        <f>IF(OR($A18="",$J18=""),"",$J18-2)</f>
        <v/>
      </c>
      <c r="O18" s="28">
        <f>IF(OR($A18="",$F18=""),"",IF($J18&lt;&gt;"",IF($L18&gt;$F18,"Fora do prazo — dobra (art. 137)","Programada"),IF($F18&lt;TODAY(),"Vencida — pagamento em dobro (art. 137)",IF($E18&gt;=TODAY(),"Em aquisição",IF($F18-TODAY()&lt;60,"Crítica — menos de 60 dias","Programar")))))</f>
        <v/>
      </c>
      <c r="P18" s="28" t="n"/>
    </row>
    <row r="19" ht="18" customHeight="1">
      <c r="A19" s="28" t="n"/>
      <c r="B19" s="29" t="n"/>
      <c r="C19" s="29" t="n"/>
      <c r="D19" s="29">
        <f>IF(OR($A19="",$B19=""),"",IF($C19="",$B19,$C19+1))</f>
        <v/>
      </c>
      <c r="E19" s="29">
        <f>IF($D19="","",EDATE($D19,12)-1)</f>
        <v/>
      </c>
      <c r="F19" s="29">
        <f>IF($E19="","",EDATE($E19,12))</f>
        <v/>
      </c>
      <c r="G19" s="32">
        <f>IF($F19="","",$F19-TODAY())</f>
        <v/>
      </c>
      <c r="H19" s="32" t="n"/>
      <c r="I19" s="32">
        <f>IF($A19="","",IF(N($H19)&lt;=5,30,IF($H19&lt;=14,24,IF($H19&lt;=23,18,IF($H19&lt;=32,12,0)))))</f>
        <v/>
      </c>
      <c r="J19" s="29" t="n"/>
      <c r="K19" s="32" t="n"/>
      <c r="L19" s="29">
        <f>IF(OR($A19="",$J19=""),"",$J19+IF($K19="",$I19,$K19)-1)</f>
        <v/>
      </c>
      <c r="M19" s="29">
        <f>IF(OR($A19="",$J19=""),"",$J19-30)</f>
        <v/>
      </c>
      <c r="N19" s="29">
        <f>IF(OR($A19="",$J19=""),"",$J19-2)</f>
        <v/>
      </c>
      <c r="O19" s="28">
        <f>IF(OR($A19="",$F19=""),"",IF($J19&lt;&gt;"",IF($L19&gt;$F19,"Fora do prazo — dobra (art. 137)","Programada"),IF($F19&lt;TODAY(),"Vencida — pagamento em dobro (art. 137)",IF($E19&gt;=TODAY(),"Em aquisição",IF($F19-TODAY()&lt;60,"Crítica — menos de 60 dias","Programar")))))</f>
        <v/>
      </c>
      <c r="P19" s="28" t="n"/>
    </row>
    <row r="20" ht="18" customHeight="1">
      <c r="A20" s="28" t="n"/>
      <c r="B20" s="29" t="n"/>
      <c r="C20" s="29" t="n"/>
      <c r="D20" s="29">
        <f>IF(OR($A20="",$B20=""),"",IF($C20="",$B20,$C20+1))</f>
        <v/>
      </c>
      <c r="E20" s="29">
        <f>IF($D20="","",EDATE($D20,12)-1)</f>
        <v/>
      </c>
      <c r="F20" s="29">
        <f>IF($E20="","",EDATE($E20,12))</f>
        <v/>
      </c>
      <c r="G20" s="32">
        <f>IF($F20="","",$F20-TODAY())</f>
        <v/>
      </c>
      <c r="H20" s="32" t="n"/>
      <c r="I20" s="32">
        <f>IF($A20="","",IF(N($H20)&lt;=5,30,IF($H20&lt;=14,24,IF($H20&lt;=23,18,IF($H20&lt;=32,12,0)))))</f>
        <v/>
      </c>
      <c r="J20" s="29" t="n"/>
      <c r="K20" s="32" t="n"/>
      <c r="L20" s="29">
        <f>IF(OR($A20="",$J20=""),"",$J20+IF($K20="",$I20,$K20)-1)</f>
        <v/>
      </c>
      <c r="M20" s="29">
        <f>IF(OR($A20="",$J20=""),"",$J20-30)</f>
        <v/>
      </c>
      <c r="N20" s="29">
        <f>IF(OR($A20="",$J20=""),"",$J20-2)</f>
        <v/>
      </c>
      <c r="O20" s="28">
        <f>IF(OR($A20="",$F20=""),"",IF($J20&lt;&gt;"",IF($L20&gt;$F20,"Fora do prazo — dobra (art. 137)","Programada"),IF($F20&lt;TODAY(),"Vencida — pagamento em dobro (art. 137)",IF($E20&gt;=TODAY(),"Em aquisição",IF($F20-TODAY()&lt;60,"Crítica — menos de 60 dias","Programar")))))</f>
        <v/>
      </c>
      <c r="P20" s="28" t="n"/>
    </row>
    <row r="21" ht="18" customHeight="1">
      <c r="A21" s="28" t="n"/>
      <c r="B21" s="29" t="n"/>
      <c r="C21" s="29" t="n"/>
      <c r="D21" s="29">
        <f>IF(OR($A21="",$B21=""),"",IF($C21="",$B21,$C21+1))</f>
        <v/>
      </c>
      <c r="E21" s="29">
        <f>IF($D21="","",EDATE($D21,12)-1)</f>
        <v/>
      </c>
      <c r="F21" s="29">
        <f>IF($E21="","",EDATE($E21,12))</f>
        <v/>
      </c>
      <c r="G21" s="32">
        <f>IF($F21="","",$F21-TODAY())</f>
        <v/>
      </c>
      <c r="H21" s="32" t="n"/>
      <c r="I21" s="32">
        <f>IF($A21="","",IF(N($H21)&lt;=5,30,IF($H21&lt;=14,24,IF($H21&lt;=23,18,IF($H21&lt;=32,12,0)))))</f>
        <v/>
      </c>
      <c r="J21" s="29" t="n"/>
      <c r="K21" s="32" t="n"/>
      <c r="L21" s="29">
        <f>IF(OR($A21="",$J21=""),"",$J21+IF($K21="",$I21,$K21)-1)</f>
        <v/>
      </c>
      <c r="M21" s="29">
        <f>IF(OR($A21="",$J21=""),"",$J21-30)</f>
        <v/>
      </c>
      <c r="N21" s="29">
        <f>IF(OR($A21="",$J21=""),"",$J21-2)</f>
        <v/>
      </c>
      <c r="O21" s="28">
        <f>IF(OR($A21="",$F21=""),"",IF($J21&lt;&gt;"",IF($L21&gt;$F21,"Fora do prazo — dobra (art. 137)","Programada"),IF($F21&lt;TODAY(),"Vencida — pagamento em dobro (art. 137)",IF($E21&gt;=TODAY(),"Em aquisição",IF($F21-TODAY()&lt;60,"Crítica — menos de 60 dias","Programar")))))</f>
        <v/>
      </c>
      <c r="P21" s="28" t="n"/>
    </row>
    <row r="22" ht="18" customHeight="1">
      <c r="A22" s="28" t="n"/>
      <c r="B22" s="29" t="n"/>
      <c r="C22" s="29" t="n"/>
      <c r="D22" s="29">
        <f>IF(OR($A22="",$B22=""),"",IF($C22="",$B22,$C22+1))</f>
        <v/>
      </c>
      <c r="E22" s="29">
        <f>IF($D22="","",EDATE($D22,12)-1)</f>
        <v/>
      </c>
      <c r="F22" s="29">
        <f>IF($E22="","",EDATE($E22,12))</f>
        <v/>
      </c>
      <c r="G22" s="32">
        <f>IF($F22="","",$F22-TODAY())</f>
        <v/>
      </c>
      <c r="H22" s="32" t="n"/>
      <c r="I22" s="32">
        <f>IF($A22="","",IF(N($H22)&lt;=5,30,IF($H22&lt;=14,24,IF($H22&lt;=23,18,IF($H22&lt;=32,12,0)))))</f>
        <v/>
      </c>
      <c r="J22" s="29" t="n"/>
      <c r="K22" s="32" t="n"/>
      <c r="L22" s="29">
        <f>IF(OR($A22="",$J22=""),"",$J22+IF($K22="",$I22,$K22)-1)</f>
        <v/>
      </c>
      <c r="M22" s="29">
        <f>IF(OR($A22="",$J22=""),"",$J22-30)</f>
        <v/>
      </c>
      <c r="N22" s="29">
        <f>IF(OR($A22="",$J22=""),"",$J22-2)</f>
        <v/>
      </c>
      <c r="O22" s="28">
        <f>IF(OR($A22="",$F22=""),"",IF($J22&lt;&gt;"",IF($L22&gt;$F22,"Fora do prazo — dobra (art. 137)","Programada"),IF($F22&lt;TODAY(),"Vencida — pagamento em dobro (art. 137)",IF($E22&gt;=TODAY(),"Em aquisição",IF($F22-TODAY()&lt;60,"Crítica — menos de 60 dias","Programar")))))</f>
        <v/>
      </c>
      <c r="P22" s="28" t="n"/>
    </row>
    <row r="23" ht="18" customHeight="1">
      <c r="A23" s="28" t="n"/>
      <c r="B23" s="29" t="n"/>
      <c r="C23" s="29" t="n"/>
      <c r="D23" s="29">
        <f>IF(OR($A23="",$B23=""),"",IF($C23="",$B23,$C23+1))</f>
        <v/>
      </c>
      <c r="E23" s="29">
        <f>IF($D23="","",EDATE($D23,12)-1)</f>
        <v/>
      </c>
      <c r="F23" s="29">
        <f>IF($E23="","",EDATE($E23,12))</f>
        <v/>
      </c>
      <c r="G23" s="32">
        <f>IF($F23="","",$F23-TODAY())</f>
        <v/>
      </c>
      <c r="H23" s="32" t="n"/>
      <c r="I23" s="32">
        <f>IF($A23="","",IF(N($H23)&lt;=5,30,IF($H23&lt;=14,24,IF($H23&lt;=23,18,IF($H23&lt;=32,12,0)))))</f>
        <v/>
      </c>
      <c r="J23" s="29" t="n"/>
      <c r="K23" s="32" t="n"/>
      <c r="L23" s="29">
        <f>IF(OR($A23="",$J23=""),"",$J23+IF($K23="",$I23,$K23)-1)</f>
        <v/>
      </c>
      <c r="M23" s="29">
        <f>IF(OR($A23="",$J23=""),"",$J23-30)</f>
        <v/>
      </c>
      <c r="N23" s="29">
        <f>IF(OR($A23="",$J23=""),"",$J23-2)</f>
        <v/>
      </c>
      <c r="O23" s="28">
        <f>IF(OR($A23="",$F23=""),"",IF($J23&lt;&gt;"",IF($L23&gt;$F23,"Fora do prazo — dobra (art. 137)","Programada"),IF($F23&lt;TODAY(),"Vencida — pagamento em dobro (art. 137)",IF($E23&gt;=TODAY(),"Em aquisição",IF($F23-TODAY()&lt;60,"Crítica — menos de 60 dias","Programar")))))</f>
        <v/>
      </c>
      <c r="P23" s="28" t="n"/>
    </row>
    <row r="24" ht="18" customHeight="1">
      <c r="A24" s="28" t="n"/>
      <c r="B24" s="29" t="n"/>
      <c r="C24" s="29" t="n"/>
      <c r="D24" s="29">
        <f>IF(OR($A24="",$B24=""),"",IF($C24="",$B24,$C24+1))</f>
        <v/>
      </c>
      <c r="E24" s="29">
        <f>IF($D24="","",EDATE($D24,12)-1)</f>
        <v/>
      </c>
      <c r="F24" s="29">
        <f>IF($E24="","",EDATE($E24,12))</f>
        <v/>
      </c>
      <c r="G24" s="32">
        <f>IF($F24="","",$F24-TODAY())</f>
        <v/>
      </c>
      <c r="H24" s="32" t="n"/>
      <c r="I24" s="32">
        <f>IF($A24="","",IF(N($H24)&lt;=5,30,IF($H24&lt;=14,24,IF($H24&lt;=23,18,IF($H24&lt;=32,12,0)))))</f>
        <v/>
      </c>
      <c r="J24" s="29" t="n"/>
      <c r="K24" s="32" t="n"/>
      <c r="L24" s="29">
        <f>IF(OR($A24="",$J24=""),"",$J24+IF($K24="",$I24,$K24)-1)</f>
        <v/>
      </c>
      <c r="M24" s="29">
        <f>IF(OR($A24="",$J24=""),"",$J24-30)</f>
        <v/>
      </c>
      <c r="N24" s="29">
        <f>IF(OR($A24="",$J24=""),"",$J24-2)</f>
        <v/>
      </c>
      <c r="O24" s="28">
        <f>IF(OR($A24="",$F24=""),"",IF($J24&lt;&gt;"",IF($L24&gt;$F24,"Fora do prazo — dobra (art. 137)","Programada"),IF($F24&lt;TODAY(),"Vencida — pagamento em dobro (art. 137)",IF($E24&gt;=TODAY(),"Em aquisição",IF($F24-TODAY()&lt;60,"Crítica — menos de 60 dias","Programar")))))</f>
        <v/>
      </c>
      <c r="P24" s="28" t="n"/>
    </row>
    <row r="25" ht="18" customHeight="1">
      <c r="A25" s="28" t="n"/>
      <c r="B25" s="29" t="n"/>
      <c r="C25" s="29" t="n"/>
      <c r="D25" s="29">
        <f>IF(OR($A25="",$B25=""),"",IF($C25="",$B25,$C25+1))</f>
        <v/>
      </c>
      <c r="E25" s="29">
        <f>IF($D25="","",EDATE($D25,12)-1)</f>
        <v/>
      </c>
      <c r="F25" s="29">
        <f>IF($E25="","",EDATE($E25,12))</f>
        <v/>
      </c>
      <c r="G25" s="32">
        <f>IF($F25="","",$F25-TODAY())</f>
        <v/>
      </c>
      <c r="H25" s="32" t="n"/>
      <c r="I25" s="32">
        <f>IF($A25="","",IF(N($H25)&lt;=5,30,IF($H25&lt;=14,24,IF($H25&lt;=23,18,IF($H25&lt;=32,12,0)))))</f>
        <v/>
      </c>
      <c r="J25" s="29" t="n"/>
      <c r="K25" s="32" t="n"/>
      <c r="L25" s="29">
        <f>IF(OR($A25="",$J25=""),"",$J25+IF($K25="",$I25,$K25)-1)</f>
        <v/>
      </c>
      <c r="M25" s="29">
        <f>IF(OR($A25="",$J25=""),"",$J25-30)</f>
        <v/>
      </c>
      <c r="N25" s="29">
        <f>IF(OR($A25="",$J25=""),"",$J25-2)</f>
        <v/>
      </c>
      <c r="O25" s="28">
        <f>IF(OR($A25="",$F25=""),"",IF($J25&lt;&gt;"",IF($L25&gt;$F25,"Fora do prazo — dobra (art. 137)","Programada"),IF($F25&lt;TODAY(),"Vencida — pagamento em dobro (art. 137)",IF($E25&gt;=TODAY(),"Em aquisição",IF($F25-TODAY()&lt;60,"Crítica — menos de 60 dias","Programar")))))</f>
        <v/>
      </c>
      <c r="P25" s="28" t="n"/>
    </row>
    <row r="27" ht="20" customHeight="1">
      <c r="A27" s="33" t="inlineStr">
        <is>
          <t>Notas e referências legais</t>
        </is>
      </c>
    </row>
    <row r="28" ht="29" customHeight="1">
      <c r="A28" s="34" t="inlineStr">
        <is>
          <t>• Período aquisitivo vigente: começa na admissão e avança automaticamente quando você informa o fim do último período já quitado (gozado e pago). Assim, um período em aberto nunca “some” da planilha.</t>
        </is>
      </c>
    </row>
    <row r="29" ht="29" customHeight="1">
      <c r="A29" s="34" t="inlineStr">
        <is>
          <t>• Limite concessivo: as férias devem ser concedidas nos 12 meses seguintes ao fim do período aquisitivo (CLT, art. 134); os dias gozados após esse prazo são pagos em dobro (art. 137).</t>
        </is>
      </c>
    </row>
    <row r="30" ht="29" customHeight="1">
      <c r="A30" s="34" t="inlineStr">
        <is>
          <t>• Dias de direito conforme as faltas injustificadas no período (art. 130): até 5 = 30 dias; 6 a 14 = 24; 15 a 23 = 18; 24 a 32 = 12; acima de 32 = sem direito.</t>
        </is>
      </c>
    </row>
    <row r="31" ht="29" customHeight="1">
      <c r="A31" s="34" t="inlineStr">
        <is>
          <t>• Aviso por escrito com antecedência mínima de 30 dias (art. 135) e pagamento até 2 dias antes do início do gozo (art. 145). Se a data de pagamento cair em dia sem expediente, antecipe.</t>
        </is>
      </c>
    </row>
    <row r="32" ht="29" customHeight="1">
      <c r="A32" s="34" t="inlineStr">
        <is>
          <t>• Fracionamento: com concordância do empregado, em até 3 períodos — um com no mínimo 14 dias corridos e os demais com no mínimo 5 dias corridos cada (art. 134, §1º).</t>
        </is>
      </c>
    </row>
    <row r="33" ht="16.5" customHeight="1">
      <c r="A33" s="34" t="inlineStr">
        <is>
          <t>• É vedado o início das férias no período de 2 dias que antecede feriado ou dia de repouso semanal remunerado (art. 134, §3º).</t>
        </is>
      </c>
    </row>
  </sheetData>
  <autoFilter ref="A5:P25"/>
  <mergeCells count="6">
    <mergeCell ref="A29:I29"/>
    <mergeCell ref="A33:I33"/>
    <mergeCell ref="A28:I28"/>
    <mergeCell ref="A32:I32"/>
    <mergeCell ref="A31:I31"/>
    <mergeCell ref="A30:I30"/>
  </mergeCells>
  <conditionalFormatting sqref="O6:O25">
    <cfRule type="expression" priority="1" dxfId="0">
      <formula>OR(LEFT($O6,7)="Vencida",LEFT($O6,13)="Fora do prazo")</formula>
    </cfRule>
    <cfRule type="expression" priority="2" dxfId="1">
      <formula>LEFT($O6,7)="Crítica"</formula>
    </cfRule>
    <cfRule type="expression" priority="3" dxfId="2">
      <formula>$O6="Programada"</formula>
    </cfRule>
    <cfRule type="expression" priority="4" dxfId="5">
      <formula>$O6="Em aquisição"</formula>
    </cfRule>
  </conditionalFormatting>
  <conditionalFormatting sqref="A6:P25">
    <cfRule type="expression" priority="5" dxfId="6">
      <formula>MOD(ROW(),2)=0</formula>
    </cfRule>
  </conditionalFormatting>
  <dataValidations count="2">
    <dataValidation sqref="H6:H25" showDropDown="0" showInputMessage="0" showErrorMessage="1" allowBlank="1" errorTitle="Valor inválido" error="Informe um número inteiro de faltas (0 ou mais)." type="whole" operator="between">
      <formula1>0</formula1>
      <formula2>365</formula2>
    </dataValidation>
    <dataValidation sqref="K6:K25" showDropDown="0" showInputMessage="0" showErrorMessage="1" allowBlank="1" errorTitle="Valor inválido" error="Cada período de gozo deve ter entre 5 e 30 dias (art. 134, §1º)." type="whole" operator="between">
      <formula1>5</formula1>
      <formula2>30</formula2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N33"/>
  <sheetViews>
    <sheetView tabSelected="0" zoomScale="9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2" customWidth="1" min="2" max="2"/>
    <col width="11" customWidth="1" min="3" max="3"/>
    <col width="13" customWidth="1" min="4" max="4"/>
    <col width="13" customWidth="1" min="5" max="5"/>
    <col width="13" customWidth="1" min="6" max="6"/>
    <col width="11" customWidth="1" min="7" max="7"/>
    <col width="11" customWidth="1" min="8" max="8"/>
    <col width="14" customWidth="1" min="9" max="9"/>
    <col width="12" customWidth="1" min="10" max="10"/>
    <col width="13" customWidth="1" min="11" max="11"/>
    <col width="10" customWidth="1" min="12" max="12"/>
    <col width="50" customWidth="1" min="13" max="13"/>
    <col width="40" customWidth="1" min="14" max="14"/>
  </cols>
  <sheetData>
    <row r="1" ht="28" customHeight="1">
      <c r="A1" s="21" t="inlineStr">
        <is>
          <t>Banco de horas — saldo mensal e vencimento da compensação</t>
        </is>
      </c>
    </row>
    <row r="2" ht="16" customHeight="1">
      <c r="A2" s="2" t="inlineStr">
        <is>
          <t>Horas em formato decimal (12,5 = 12h30). O prazo de compensação segue o tipo de acordo: individual escrito (6 meses) ou coletivo (até 12 meses).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 ht="18" customHeight="1">
      <c r="A4" s="22" t="inlineStr">
        <is>
          <t>Mês de referência</t>
        </is>
      </c>
      <c r="B4" s="40" t="n">
        <v>46296</v>
      </c>
    </row>
    <row r="5">
      <c r="A5" s="25" t="inlineStr">
        <is>
          <t>preencher</t>
        </is>
      </c>
      <c r="B5" s="25" t="inlineStr">
        <is>
          <t>preencher</t>
        </is>
      </c>
      <c r="C5" s="25" t="inlineStr">
        <is>
          <t>preencher</t>
        </is>
      </c>
      <c r="D5" s="25" t="inlineStr">
        <is>
          <t>preencher</t>
        </is>
      </c>
      <c r="E5" s="25" t="inlineStr">
        <is>
          <t>preencher</t>
        </is>
      </c>
      <c r="F5" s="25" t="inlineStr">
        <is>
          <t>preencher</t>
        </is>
      </c>
      <c r="G5" s="26" t="inlineStr">
        <is>
          <t>automático</t>
        </is>
      </c>
      <c r="H5" s="26" t="inlineStr">
        <is>
          <t>automático</t>
        </is>
      </c>
      <c r="I5" s="25" t="inlineStr">
        <is>
          <t>preencher</t>
        </is>
      </c>
      <c r="J5" s="26" t="inlineStr">
        <is>
          <t>automático</t>
        </is>
      </c>
      <c r="K5" s="26" t="inlineStr">
        <is>
          <t>automático</t>
        </is>
      </c>
      <c r="L5" s="26" t="inlineStr">
        <is>
          <t>automático</t>
        </is>
      </c>
      <c r="M5" s="26" t="inlineStr">
        <is>
          <t>automático</t>
        </is>
      </c>
      <c r="N5" s="25" t="inlineStr">
        <is>
          <t>preencher</t>
        </is>
      </c>
    </row>
    <row r="6" ht="58" customHeight="1">
      <c r="A6" s="27" t="inlineStr">
        <is>
          <t>Colaborador</t>
        </is>
      </c>
      <c r="B6" s="27" t="inlineStr">
        <is>
          <t>Tipo de acordo</t>
        </is>
      </c>
      <c r="C6" s="27" t="inlineStr">
        <is>
          <t>Saldo anterior (h)</t>
        </is>
      </c>
      <c r="D6" s="27" t="inlineStr">
        <is>
          <t>Créditos — HE para o banco (h)</t>
        </is>
      </c>
      <c r="E6" s="27" t="inlineStr">
        <is>
          <t>Débitos — atrasos / saídas (h)</t>
        </is>
      </c>
      <c r="F6" s="27" t="inlineStr">
        <is>
          <t>Compensações — folgas (h)</t>
        </is>
      </c>
      <c r="G6" s="27" t="inlineStr">
        <is>
          <t>Saldo atual (h)</t>
        </is>
      </c>
      <c r="H6" s="27" t="inlineStr">
        <is>
          <t>Saldo atual (h:mm)</t>
        </is>
      </c>
      <c r="I6" s="27" t="inlineStr">
        <is>
          <t>Data de origem do saldo mais antigo</t>
        </is>
      </c>
      <c r="J6" s="27" t="inlineStr">
        <is>
          <t>Prazo de compensação (meses)</t>
        </is>
      </c>
      <c r="K6" s="27" t="inlineStr">
        <is>
          <t>Data de vencimento</t>
        </is>
      </c>
      <c r="L6" s="27" t="inlineStr">
        <is>
          <t>Dias para vencer</t>
        </is>
      </c>
      <c r="M6" s="27" t="inlineStr">
        <is>
          <t>Alerta</t>
        </is>
      </c>
      <c r="N6" s="27" t="inlineStr">
        <is>
          <t>Observações</t>
        </is>
      </c>
    </row>
    <row r="7" ht="18" customHeight="1">
      <c r="A7" s="28" t="inlineStr">
        <is>
          <t>Carlos Eduardo Nunes</t>
        </is>
      </c>
      <c r="B7" s="30" t="inlineStr">
        <is>
          <t>Coletivo</t>
        </is>
      </c>
      <c r="C7" s="41" t="n">
        <v>12.5</v>
      </c>
      <c r="D7" s="41" t="n">
        <v>6</v>
      </c>
      <c r="E7" s="41" t="n">
        <v>1.5</v>
      </c>
      <c r="F7" s="41" t="n">
        <v>8</v>
      </c>
      <c r="G7" s="41">
        <f>IF($A7="","",$C7+$D7-$E7-$F7)</f>
        <v/>
      </c>
      <c r="H7" s="30">
        <f>IF($G7="","",IF($G7&lt;0,"-","")&amp;TEXT(ABS($G7)/24,"[h]:mm"))</f>
        <v/>
      </c>
      <c r="I7" s="29" t="n">
        <v>46063</v>
      </c>
      <c r="J7" s="32">
        <f>IF($A7="","",IF($B7="Coletivo",12,6))</f>
        <v/>
      </c>
      <c r="K7" s="29">
        <f>IF(OR($A7="",$I7=""),"",EDATE($I7,$J7))</f>
        <v/>
      </c>
      <c r="L7" s="32">
        <f>IF($K7="","",$K7-TODAY())</f>
        <v/>
      </c>
      <c r="M7" s="28">
        <f>IF($A7="","",IF(ROUND($G7,2)=0,"OK",IF($G7&lt;0,"Saldo negativo — acompanhar compensação",IF($K7="","Informar data de origem do saldo",IF($L7&lt;0,"Vencido — pagar como hora extra",IF($L7&lt;=30,"Vence "&amp;IF($L7=0,"hoje",IF($L7=1,"amanhã","em "&amp;$L7&amp;" dias"))&amp;" — programar folga ou pagar como HE","OK"))))))</f>
        <v/>
      </c>
      <c r="N7" s="28" t="n"/>
    </row>
    <row r="8" ht="18" customHeight="1">
      <c r="A8" s="28" t="inlineStr">
        <is>
          <t>Patrícia Lopes Barbosa</t>
        </is>
      </c>
      <c r="B8" s="30" t="inlineStr">
        <is>
          <t>Individual</t>
        </is>
      </c>
      <c r="C8" s="41" t="n">
        <v>20</v>
      </c>
      <c r="D8" s="41" t="n">
        <v>4.5</v>
      </c>
      <c r="E8" s="41" t="n">
        <v>0</v>
      </c>
      <c r="F8" s="41" t="n">
        <v>0</v>
      </c>
      <c r="G8" s="41">
        <f>IF($A8="","",$C8+$D8-$E8-$F8)</f>
        <v/>
      </c>
      <c r="H8" s="30">
        <f>IF($G8="","",IF($G8&lt;0,"-","")&amp;TEXT(ABS($G8)/24,"[h]:mm"))</f>
        <v/>
      </c>
      <c r="I8" s="29" t="n">
        <v>46127</v>
      </c>
      <c r="J8" s="32">
        <f>IF($A8="","",IF($B8="Coletivo",12,6))</f>
        <v/>
      </c>
      <c r="K8" s="29">
        <f>IF(OR($A8="",$I8=""),"",EDATE($I8,$J8))</f>
        <v/>
      </c>
      <c r="L8" s="32">
        <f>IF($K8="","",$K8-TODAY())</f>
        <v/>
      </c>
      <c r="M8" s="28">
        <f>IF($A8="","",IF(ROUND($G8,2)=0,"OK",IF($G8&lt;0,"Saldo negativo — acompanhar compensação",IF($K8="","Informar data de origem do saldo",IF($L8&lt;0,"Vencido — pagar como hora extra",IF($L8&lt;=30,"Vence "&amp;IF($L8=0,"hoje",IF($L8=1,"amanhã","em "&amp;$L8&amp;" dias"))&amp;" — programar folga ou pagar como HE","OK"))))))</f>
        <v/>
      </c>
      <c r="N8" s="28" t="inlineStr">
        <is>
          <t>Incluir o saldo vencido como HE na folha da competência</t>
        </is>
      </c>
    </row>
    <row r="9" ht="18" customHeight="1">
      <c r="A9" s="28" t="inlineStr">
        <is>
          <t>Rodrigo Teixeira Dias</t>
        </is>
      </c>
      <c r="B9" s="30" t="inlineStr">
        <is>
          <t>Individual</t>
        </is>
      </c>
      <c r="C9" s="41" t="n">
        <v>6</v>
      </c>
      <c r="D9" s="41" t="n">
        <v>3.25</v>
      </c>
      <c r="E9" s="41" t="n">
        <v>0.75</v>
      </c>
      <c r="F9" s="41" t="n">
        <v>0</v>
      </c>
      <c r="G9" s="41">
        <f>IF($A9="","",$C9+$D9-$E9-$F9)</f>
        <v/>
      </c>
      <c r="H9" s="30">
        <f>IF($G9="","",IF($G9&lt;0,"-","")&amp;TEXT(ABS($G9)/24,"[h]:mm"))</f>
        <v/>
      </c>
      <c r="I9" s="29" t="n">
        <v>46150</v>
      </c>
      <c r="J9" s="32">
        <f>IF($A9="","",IF($B9="Coletivo",12,6))</f>
        <v/>
      </c>
      <c r="K9" s="29">
        <f>IF(OR($A9="",$I9=""),"",EDATE($I9,$J9))</f>
        <v/>
      </c>
      <c r="L9" s="32">
        <f>IF($K9="","",$K9-TODAY())</f>
        <v/>
      </c>
      <c r="M9" s="28">
        <f>IF($A9="","",IF(ROUND($G9,2)=0,"OK",IF($G9&lt;0,"Saldo negativo — acompanhar compensação",IF($K9="","Informar data de origem do saldo",IF($L9&lt;0,"Vencido — pagar como hora extra",IF($L9&lt;=30,"Vence "&amp;IF($L9=0,"hoje",IF($L9=1,"amanhã","em "&amp;$L9&amp;" dias"))&amp;" — programar folga ou pagar como HE","OK"))))))</f>
        <v/>
      </c>
      <c r="N9" s="28" t="inlineStr">
        <is>
          <t>Folga sugerida para 30/10</t>
        </is>
      </c>
    </row>
    <row r="10" ht="18" customHeight="1">
      <c r="A10" s="28" t="inlineStr">
        <is>
          <t>Aline Moreira Castro</t>
        </is>
      </c>
      <c r="B10" s="30" t="inlineStr">
        <is>
          <t>Coletivo</t>
        </is>
      </c>
      <c r="C10" s="41" t="n">
        <v>3</v>
      </c>
      <c r="D10" s="41" t="n">
        <v>2</v>
      </c>
      <c r="E10" s="41" t="n">
        <v>0.5</v>
      </c>
      <c r="F10" s="41" t="n">
        <v>4.5</v>
      </c>
      <c r="G10" s="41">
        <f>IF($A10="","",$C10+$D10-$E10-$F10)</f>
        <v/>
      </c>
      <c r="H10" s="30">
        <f>IF($G10="","",IF($G10&lt;0,"-","")&amp;TEXT(ABS($G10)/24,"[h]:mm"))</f>
        <v/>
      </c>
      <c r="I10" s="29" t="n"/>
      <c r="J10" s="32">
        <f>IF($A10="","",IF($B10="Coletivo",12,6))</f>
        <v/>
      </c>
      <c r="K10" s="29">
        <f>IF(OR($A10="",$I10=""),"",EDATE($I10,$J10))</f>
        <v/>
      </c>
      <c r="L10" s="32">
        <f>IF($K10="","",$K10-TODAY())</f>
        <v/>
      </c>
      <c r="M10" s="28">
        <f>IF($A10="","",IF(ROUND($G10,2)=0,"OK",IF($G10&lt;0,"Saldo negativo — acompanhar compensação",IF($K10="","Informar data de origem do saldo",IF($L10&lt;0,"Vencido — pagar como hora extra",IF($L10&lt;=30,"Vence "&amp;IF($L10=0,"hoje",IF($L10=1,"amanhã","em "&amp;$L10&amp;" dias"))&amp;" — programar folga ou pagar como HE","OK"))))))</f>
        <v/>
      </c>
      <c r="N10" s="28" t="inlineStr">
        <is>
          <t>Saldo zerado no mês</t>
        </is>
      </c>
    </row>
    <row r="11" ht="18" customHeight="1">
      <c r="A11" s="28" t="inlineStr">
        <is>
          <t>Thiago Barros Cardoso</t>
        </is>
      </c>
      <c r="B11" s="30" t="inlineStr">
        <is>
          <t>Coletivo</t>
        </is>
      </c>
      <c r="C11" s="41" t="n">
        <v>30</v>
      </c>
      <c r="D11" s="41" t="n">
        <v>8</v>
      </c>
      <c r="E11" s="41" t="n">
        <v>2</v>
      </c>
      <c r="F11" s="41" t="n">
        <v>8</v>
      </c>
      <c r="G11" s="41">
        <f>IF($A11="","",$C11+$D11-$E11-$F11)</f>
        <v/>
      </c>
      <c r="H11" s="30">
        <f>IF($G11="","",IF($G11&lt;0,"-","")&amp;TEXT(ABS($G11)/24,"[h]:mm"))</f>
        <v/>
      </c>
      <c r="I11" s="29" t="n">
        <v>45964</v>
      </c>
      <c r="J11" s="32">
        <f>IF($A11="","",IF($B11="Coletivo",12,6))</f>
        <v/>
      </c>
      <c r="K11" s="29">
        <f>IF(OR($A11="",$I11=""),"",EDATE($I11,$J11))</f>
        <v/>
      </c>
      <c r="L11" s="32">
        <f>IF($K11="","",$K11-TODAY())</f>
        <v/>
      </c>
      <c r="M11" s="28">
        <f>IF($A11="","",IF(ROUND($G11,2)=0,"OK",IF($G11&lt;0,"Saldo negativo — acompanhar compensação",IF($K11="","Informar data de origem do saldo",IF($L11&lt;0,"Vencido — pagar como hora extra",IF($L11&lt;=30,"Vence "&amp;IF($L11=0,"hoje",IF($L11=1,"amanhã","em "&amp;$L11&amp;" dias"))&amp;" — programar folga ou pagar como HE","OK"))))))</f>
        <v/>
      </c>
      <c r="N11" s="28" t="inlineStr">
        <is>
          <t>Combinar folgas com o gestor</t>
        </is>
      </c>
    </row>
    <row r="12" ht="18" customHeight="1">
      <c r="A12" s="28" t="inlineStr">
        <is>
          <t>Diego Fernandes Araújo</t>
        </is>
      </c>
      <c r="B12" s="30" t="inlineStr">
        <is>
          <t>Individual</t>
        </is>
      </c>
      <c r="C12" s="41" t="n">
        <v>-2.5</v>
      </c>
      <c r="D12" s="41" t="n">
        <v>1</v>
      </c>
      <c r="E12" s="41" t="n">
        <v>1.5</v>
      </c>
      <c r="F12" s="41" t="n">
        <v>0</v>
      </c>
      <c r="G12" s="41">
        <f>IF($A12="","",$C12+$D12-$E12-$F12)</f>
        <v/>
      </c>
      <c r="H12" s="30">
        <f>IF($G12="","",IF($G12&lt;0,"-","")&amp;TEXT(ABS($G12)/24,"[h]:mm"))</f>
        <v/>
      </c>
      <c r="I12" s="29" t="n"/>
      <c r="J12" s="32">
        <f>IF($A12="","",IF($B12="Coletivo",12,6))</f>
        <v/>
      </c>
      <c r="K12" s="29">
        <f>IF(OR($A12="",$I12=""),"",EDATE($I12,$J12))</f>
        <v/>
      </c>
      <c r="L12" s="32">
        <f>IF($K12="","",$K12-TODAY())</f>
        <v/>
      </c>
      <c r="M12" s="28">
        <f>IF($A12="","",IF(ROUND($G12,2)=0,"OK",IF($G12&lt;0,"Saldo negativo — acompanhar compensação",IF($K12="","Informar data de origem do saldo",IF($L12&lt;0,"Vencido — pagar como hora extra",IF($L12&lt;=30,"Vence "&amp;IF($L12=0,"hoje",IF($L12=1,"amanhã","em "&amp;$L12&amp;" dias"))&amp;" — programar folga ou pagar como HE","OK"))))))</f>
        <v/>
      </c>
      <c r="N12" s="28" t="inlineStr">
        <is>
          <t>Atrasos recorrentes: alinhar com o gestor</t>
        </is>
      </c>
    </row>
    <row r="13" ht="18" customHeight="1">
      <c r="A13" s="28" t="inlineStr">
        <is>
          <t>Mariana Costa Ribeiro</t>
        </is>
      </c>
      <c r="B13" s="30" t="inlineStr">
        <is>
          <t>Individual</t>
        </is>
      </c>
      <c r="C13" s="41" t="n">
        <v>0</v>
      </c>
      <c r="D13" s="41" t="n">
        <v>3.5</v>
      </c>
      <c r="E13" s="41" t="n">
        <v>0</v>
      </c>
      <c r="F13" s="41" t="n">
        <v>0</v>
      </c>
      <c r="G13" s="41">
        <f>IF($A13="","",$C13+$D13-$E13-$F13)</f>
        <v/>
      </c>
      <c r="H13" s="30">
        <f>IF($G13="","",IF($G13&lt;0,"-","")&amp;TEXT(ABS($G13)/24,"[h]:mm"))</f>
        <v/>
      </c>
      <c r="I13" s="29" t="n">
        <v>46303</v>
      </c>
      <c r="J13" s="32">
        <f>IF($A13="","",IF($B13="Coletivo",12,6))</f>
        <v/>
      </c>
      <c r="K13" s="29">
        <f>IF(OR($A13="",$I13=""),"",EDATE($I13,$J13))</f>
        <v/>
      </c>
      <c r="L13" s="32">
        <f>IF($K13="","",$K13-TODAY())</f>
        <v/>
      </c>
      <c r="M13" s="28">
        <f>IF($A13="","",IF(ROUND($G13,2)=0,"OK",IF($G13&lt;0,"Saldo negativo — acompanhar compensação",IF($K13="","Informar data de origem do saldo",IF($L13&lt;0,"Vencido — pagar como hora extra",IF($L13&lt;=30,"Vence "&amp;IF($L13=0,"hoje",IF($L13=1,"amanhã","em "&amp;$L13&amp;" dias"))&amp;" — programar folga ou pagar como HE","OK"))))))</f>
        <v/>
      </c>
      <c r="N13" s="28" t="n"/>
    </row>
    <row r="14" ht="18" customHeight="1">
      <c r="A14" s="28" t="inlineStr">
        <is>
          <t>Gabriel Martins Rocha</t>
        </is>
      </c>
      <c r="B14" s="30" t="inlineStr">
        <is>
          <t>Coletivo</t>
        </is>
      </c>
      <c r="C14" s="41" t="n">
        <v>15.75</v>
      </c>
      <c r="D14" s="41" t="n">
        <v>0</v>
      </c>
      <c r="E14" s="41" t="n">
        <v>0</v>
      </c>
      <c r="F14" s="41" t="n">
        <v>7.75</v>
      </c>
      <c r="G14" s="41">
        <f>IF($A14="","",$C14+$D14-$E14-$F14)</f>
        <v/>
      </c>
      <c r="H14" s="30">
        <f>IF($G14="","",IF($G14&lt;0,"-","")&amp;TEXT(ABS($G14)/24,"[h]:mm"))</f>
        <v/>
      </c>
      <c r="I14" s="29" t="n">
        <v>46042</v>
      </c>
      <c r="J14" s="32">
        <f>IF($A14="","",IF($B14="Coletivo",12,6))</f>
        <v/>
      </c>
      <c r="K14" s="29">
        <f>IF(OR($A14="",$I14=""),"",EDATE($I14,$J14))</f>
        <v/>
      </c>
      <c r="L14" s="32">
        <f>IF($K14="","",$K14-TODAY())</f>
        <v/>
      </c>
      <c r="M14" s="28">
        <f>IF($A14="","",IF(ROUND($G14,2)=0,"OK",IF($G14&lt;0,"Saldo negativo — acompanhar compensação",IF($K14="","Informar data de origem do saldo",IF($L14&lt;0,"Vencido — pagar como hora extra",IF($L14&lt;=30,"Vence "&amp;IF($L14=0,"hoje",IF($L14=1,"amanhã","em "&amp;$L14&amp;" dias"))&amp;" — programar folga ou pagar como HE","OK"))))))</f>
        <v/>
      </c>
      <c r="N14" s="28" t="n"/>
    </row>
    <row r="15" ht="18" customHeight="1">
      <c r="A15" s="28" t="n"/>
      <c r="B15" s="30" t="n"/>
      <c r="C15" s="41" t="n"/>
      <c r="D15" s="41" t="n"/>
      <c r="E15" s="41" t="n"/>
      <c r="F15" s="41" t="n"/>
      <c r="G15" s="41">
        <f>IF($A15="","",$C15+$D15-$E15-$F15)</f>
        <v/>
      </c>
      <c r="H15" s="30">
        <f>IF($G15="","",IF($G15&lt;0,"-","")&amp;TEXT(ABS($G15)/24,"[h]:mm"))</f>
        <v/>
      </c>
      <c r="I15" s="29" t="n"/>
      <c r="J15" s="32">
        <f>IF($A15="","",IF($B15="Coletivo",12,6))</f>
        <v/>
      </c>
      <c r="K15" s="29">
        <f>IF(OR($A15="",$I15=""),"",EDATE($I15,$J15))</f>
        <v/>
      </c>
      <c r="L15" s="32">
        <f>IF($K15="","",$K15-TODAY())</f>
        <v/>
      </c>
      <c r="M15" s="28">
        <f>IF($A15="","",IF(ROUND($G15,2)=0,"OK",IF($G15&lt;0,"Saldo negativo — acompanhar compensação",IF($K15="","Informar data de origem do saldo",IF($L15&lt;0,"Vencido — pagar como hora extra",IF($L15&lt;=30,"Vence "&amp;IF($L15=0,"hoje",IF($L15=1,"amanhã","em "&amp;$L15&amp;" dias"))&amp;" — programar folga ou pagar como HE","OK"))))))</f>
        <v/>
      </c>
      <c r="N15" s="28" t="n"/>
    </row>
    <row r="16" ht="18" customHeight="1">
      <c r="A16" s="28" t="n"/>
      <c r="B16" s="30" t="n"/>
      <c r="C16" s="41" t="n"/>
      <c r="D16" s="41" t="n"/>
      <c r="E16" s="41" t="n"/>
      <c r="F16" s="41" t="n"/>
      <c r="G16" s="41">
        <f>IF($A16="","",$C16+$D16-$E16-$F16)</f>
        <v/>
      </c>
      <c r="H16" s="30">
        <f>IF($G16="","",IF($G16&lt;0,"-","")&amp;TEXT(ABS($G16)/24,"[h]:mm"))</f>
        <v/>
      </c>
      <c r="I16" s="29" t="n"/>
      <c r="J16" s="32">
        <f>IF($A16="","",IF($B16="Coletivo",12,6))</f>
        <v/>
      </c>
      <c r="K16" s="29">
        <f>IF(OR($A16="",$I16=""),"",EDATE($I16,$J16))</f>
        <v/>
      </c>
      <c r="L16" s="32">
        <f>IF($K16="","",$K16-TODAY())</f>
        <v/>
      </c>
      <c r="M16" s="28">
        <f>IF($A16="","",IF(ROUND($G16,2)=0,"OK",IF($G16&lt;0,"Saldo negativo — acompanhar compensação",IF($K16="","Informar data de origem do saldo",IF($L16&lt;0,"Vencido — pagar como hora extra",IF($L16&lt;=30,"Vence "&amp;IF($L16=0,"hoje",IF($L16=1,"amanhã","em "&amp;$L16&amp;" dias"))&amp;" — programar folga ou pagar como HE","OK"))))))</f>
        <v/>
      </c>
      <c r="N16" s="28" t="n"/>
    </row>
    <row r="17" ht="18" customHeight="1">
      <c r="A17" s="28" t="n"/>
      <c r="B17" s="30" t="n"/>
      <c r="C17" s="41" t="n"/>
      <c r="D17" s="41" t="n"/>
      <c r="E17" s="41" t="n"/>
      <c r="F17" s="41" t="n"/>
      <c r="G17" s="41">
        <f>IF($A17="","",$C17+$D17-$E17-$F17)</f>
        <v/>
      </c>
      <c r="H17" s="30">
        <f>IF($G17="","",IF($G17&lt;0,"-","")&amp;TEXT(ABS($G17)/24,"[h]:mm"))</f>
        <v/>
      </c>
      <c r="I17" s="29" t="n"/>
      <c r="J17" s="32">
        <f>IF($A17="","",IF($B17="Coletivo",12,6))</f>
        <v/>
      </c>
      <c r="K17" s="29">
        <f>IF(OR($A17="",$I17=""),"",EDATE($I17,$J17))</f>
        <v/>
      </c>
      <c r="L17" s="32">
        <f>IF($K17="","",$K17-TODAY())</f>
        <v/>
      </c>
      <c r="M17" s="28">
        <f>IF($A17="","",IF(ROUND($G17,2)=0,"OK",IF($G17&lt;0,"Saldo negativo — acompanhar compensação",IF($K17="","Informar data de origem do saldo",IF($L17&lt;0,"Vencido — pagar como hora extra",IF($L17&lt;=30,"Vence "&amp;IF($L17=0,"hoje",IF($L17=1,"amanhã","em "&amp;$L17&amp;" dias"))&amp;" — programar folga ou pagar como HE","OK"))))))</f>
        <v/>
      </c>
      <c r="N17" s="28" t="n"/>
    </row>
    <row r="18" ht="18" customHeight="1">
      <c r="A18" s="28" t="n"/>
      <c r="B18" s="30" t="n"/>
      <c r="C18" s="41" t="n"/>
      <c r="D18" s="41" t="n"/>
      <c r="E18" s="41" t="n"/>
      <c r="F18" s="41" t="n"/>
      <c r="G18" s="41">
        <f>IF($A18="","",$C18+$D18-$E18-$F18)</f>
        <v/>
      </c>
      <c r="H18" s="30">
        <f>IF($G18="","",IF($G18&lt;0,"-","")&amp;TEXT(ABS($G18)/24,"[h]:mm"))</f>
        <v/>
      </c>
      <c r="I18" s="29" t="n"/>
      <c r="J18" s="32">
        <f>IF($A18="","",IF($B18="Coletivo",12,6))</f>
        <v/>
      </c>
      <c r="K18" s="29">
        <f>IF(OR($A18="",$I18=""),"",EDATE($I18,$J18))</f>
        <v/>
      </c>
      <c r="L18" s="32">
        <f>IF($K18="","",$K18-TODAY())</f>
        <v/>
      </c>
      <c r="M18" s="28">
        <f>IF($A18="","",IF(ROUND($G18,2)=0,"OK",IF($G18&lt;0,"Saldo negativo — acompanhar compensação",IF($K18="","Informar data de origem do saldo",IF($L18&lt;0,"Vencido — pagar como hora extra",IF($L18&lt;=30,"Vence "&amp;IF($L18=0,"hoje",IF($L18=1,"amanhã","em "&amp;$L18&amp;" dias"))&amp;" — programar folga ou pagar como HE","OK"))))))</f>
        <v/>
      </c>
      <c r="N18" s="28" t="n"/>
    </row>
    <row r="19" ht="18" customHeight="1">
      <c r="A19" s="28" t="n"/>
      <c r="B19" s="30" t="n"/>
      <c r="C19" s="41" t="n"/>
      <c r="D19" s="41" t="n"/>
      <c r="E19" s="41" t="n"/>
      <c r="F19" s="41" t="n"/>
      <c r="G19" s="41">
        <f>IF($A19="","",$C19+$D19-$E19-$F19)</f>
        <v/>
      </c>
      <c r="H19" s="30">
        <f>IF($G19="","",IF($G19&lt;0,"-","")&amp;TEXT(ABS($G19)/24,"[h]:mm"))</f>
        <v/>
      </c>
      <c r="I19" s="29" t="n"/>
      <c r="J19" s="32">
        <f>IF($A19="","",IF($B19="Coletivo",12,6))</f>
        <v/>
      </c>
      <c r="K19" s="29">
        <f>IF(OR($A19="",$I19=""),"",EDATE($I19,$J19))</f>
        <v/>
      </c>
      <c r="L19" s="32">
        <f>IF($K19="","",$K19-TODAY())</f>
        <v/>
      </c>
      <c r="M19" s="28">
        <f>IF($A19="","",IF(ROUND($G19,2)=0,"OK",IF($G19&lt;0,"Saldo negativo — acompanhar compensação",IF($K19="","Informar data de origem do saldo",IF($L19&lt;0,"Vencido — pagar como hora extra",IF($L19&lt;=30,"Vence "&amp;IF($L19=0,"hoje",IF($L19=1,"amanhã","em "&amp;$L19&amp;" dias"))&amp;" — programar folga ou pagar como HE","OK"))))))</f>
        <v/>
      </c>
      <c r="N19" s="28" t="n"/>
    </row>
    <row r="20" ht="18" customHeight="1">
      <c r="A20" s="28" t="n"/>
      <c r="B20" s="30" t="n"/>
      <c r="C20" s="41" t="n"/>
      <c r="D20" s="41" t="n"/>
      <c r="E20" s="41" t="n"/>
      <c r="F20" s="41" t="n"/>
      <c r="G20" s="41">
        <f>IF($A20="","",$C20+$D20-$E20-$F20)</f>
        <v/>
      </c>
      <c r="H20" s="30">
        <f>IF($G20="","",IF($G20&lt;0,"-","")&amp;TEXT(ABS($G20)/24,"[h]:mm"))</f>
        <v/>
      </c>
      <c r="I20" s="29" t="n"/>
      <c r="J20" s="32">
        <f>IF($A20="","",IF($B20="Coletivo",12,6))</f>
        <v/>
      </c>
      <c r="K20" s="29">
        <f>IF(OR($A20="",$I20=""),"",EDATE($I20,$J20))</f>
        <v/>
      </c>
      <c r="L20" s="32">
        <f>IF($K20="","",$K20-TODAY())</f>
        <v/>
      </c>
      <c r="M20" s="28">
        <f>IF($A20="","",IF(ROUND($G20,2)=0,"OK",IF($G20&lt;0,"Saldo negativo — acompanhar compensação",IF($K20="","Informar data de origem do saldo",IF($L20&lt;0,"Vencido — pagar como hora extra",IF($L20&lt;=30,"Vence "&amp;IF($L20=0,"hoje",IF($L20=1,"amanhã","em "&amp;$L20&amp;" dias"))&amp;" — programar folga ou pagar como HE","OK"))))))</f>
        <v/>
      </c>
      <c r="N20" s="28" t="n"/>
    </row>
    <row r="21" ht="18" customHeight="1">
      <c r="A21" s="28" t="n"/>
      <c r="B21" s="30" t="n"/>
      <c r="C21" s="41" t="n"/>
      <c r="D21" s="41" t="n"/>
      <c r="E21" s="41" t="n"/>
      <c r="F21" s="41" t="n"/>
      <c r="G21" s="41">
        <f>IF($A21="","",$C21+$D21-$E21-$F21)</f>
        <v/>
      </c>
      <c r="H21" s="30">
        <f>IF($G21="","",IF($G21&lt;0,"-","")&amp;TEXT(ABS($G21)/24,"[h]:mm"))</f>
        <v/>
      </c>
      <c r="I21" s="29" t="n"/>
      <c r="J21" s="32">
        <f>IF($A21="","",IF($B21="Coletivo",12,6))</f>
        <v/>
      </c>
      <c r="K21" s="29">
        <f>IF(OR($A21="",$I21=""),"",EDATE($I21,$J21))</f>
        <v/>
      </c>
      <c r="L21" s="32">
        <f>IF($K21="","",$K21-TODAY())</f>
        <v/>
      </c>
      <c r="M21" s="28">
        <f>IF($A21="","",IF(ROUND($G21,2)=0,"OK",IF($G21&lt;0,"Saldo negativo — acompanhar compensação",IF($K21="","Informar data de origem do saldo",IF($L21&lt;0,"Vencido — pagar como hora extra",IF($L21&lt;=30,"Vence "&amp;IF($L21=0,"hoje",IF($L21=1,"amanhã","em "&amp;$L21&amp;" dias"))&amp;" — programar folga ou pagar como HE","OK"))))))</f>
        <v/>
      </c>
      <c r="N21" s="28" t="n"/>
    </row>
    <row r="22" ht="18" customHeight="1">
      <c r="A22" s="28" t="n"/>
      <c r="B22" s="30" t="n"/>
      <c r="C22" s="41" t="n"/>
      <c r="D22" s="41" t="n"/>
      <c r="E22" s="41" t="n"/>
      <c r="F22" s="41" t="n"/>
      <c r="G22" s="41">
        <f>IF($A22="","",$C22+$D22-$E22-$F22)</f>
        <v/>
      </c>
      <c r="H22" s="30">
        <f>IF($G22="","",IF($G22&lt;0,"-","")&amp;TEXT(ABS($G22)/24,"[h]:mm"))</f>
        <v/>
      </c>
      <c r="I22" s="29" t="n"/>
      <c r="J22" s="32">
        <f>IF($A22="","",IF($B22="Coletivo",12,6))</f>
        <v/>
      </c>
      <c r="K22" s="29">
        <f>IF(OR($A22="",$I22=""),"",EDATE($I22,$J22))</f>
        <v/>
      </c>
      <c r="L22" s="32">
        <f>IF($K22="","",$K22-TODAY())</f>
        <v/>
      </c>
      <c r="M22" s="28">
        <f>IF($A22="","",IF(ROUND($G22,2)=0,"OK",IF($G22&lt;0,"Saldo negativo — acompanhar compensação",IF($K22="","Informar data de origem do saldo",IF($L22&lt;0,"Vencido — pagar como hora extra",IF($L22&lt;=30,"Vence "&amp;IF($L22=0,"hoje",IF($L22=1,"amanhã","em "&amp;$L22&amp;" dias"))&amp;" — programar folga ou pagar como HE","OK"))))))</f>
        <v/>
      </c>
      <c r="N22" s="28" t="n"/>
    </row>
    <row r="23" ht="18" customHeight="1">
      <c r="A23" s="28" t="n"/>
      <c r="B23" s="30" t="n"/>
      <c r="C23" s="41" t="n"/>
      <c r="D23" s="41" t="n"/>
      <c r="E23" s="41" t="n"/>
      <c r="F23" s="41" t="n"/>
      <c r="G23" s="41">
        <f>IF($A23="","",$C23+$D23-$E23-$F23)</f>
        <v/>
      </c>
      <c r="H23" s="30">
        <f>IF($G23="","",IF($G23&lt;0,"-","")&amp;TEXT(ABS($G23)/24,"[h]:mm"))</f>
        <v/>
      </c>
      <c r="I23" s="29" t="n"/>
      <c r="J23" s="32">
        <f>IF($A23="","",IF($B23="Coletivo",12,6))</f>
        <v/>
      </c>
      <c r="K23" s="29">
        <f>IF(OR($A23="",$I23=""),"",EDATE($I23,$J23))</f>
        <v/>
      </c>
      <c r="L23" s="32">
        <f>IF($K23="","",$K23-TODAY())</f>
        <v/>
      </c>
      <c r="M23" s="28">
        <f>IF($A23="","",IF(ROUND($G23,2)=0,"OK",IF($G23&lt;0,"Saldo negativo — acompanhar compensação",IF($K23="","Informar data de origem do saldo",IF($L23&lt;0,"Vencido — pagar como hora extra",IF($L23&lt;=30,"Vence "&amp;IF($L23=0,"hoje",IF($L23=1,"amanhã","em "&amp;$L23&amp;" dias"))&amp;" — programar folga ou pagar como HE","OK"))))))</f>
        <v/>
      </c>
      <c r="N23" s="28" t="n"/>
    </row>
    <row r="24" ht="18" customHeight="1">
      <c r="A24" s="28" t="n"/>
      <c r="B24" s="30" t="n"/>
      <c r="C24" s="41" t="n"/>
      <c r="D24" s="41" t="n"/>
      <c r="E24" s="41" t="n"/>
      <c r="F24" s="41" t="n"/>
      <c r="G24" s="41">
        <f>IF($A24="","",$C24+$D24-$E24-$F24)</f>
        <v/>
      </c>
      <c r="H24" s="30">
        <f>IF($G24="","",IF($G24&lt;0,"-","")&amp;TEXT(ABS($G24)/24,"[h]:mm"))</f>
        <v/>
      </c>
      <c r="I24" s="29" t="n"/>
      <c r="J24" s="32">
        <f>IF($A24="","",IF($B24="Coletivo",12,6))</f>
        <v/>
      </c>
      <c r="K24" s="29">
        <f>IF(OR($A24="",$I24=""),"",EDATE($I24,$J24))</f>
        <v/>
      </c>
      <c r="L24" s="32">
        <f>IF($K24="","",$K24-TODAY())</f>
        <v/>
      </c>
      <c r="M24" s="28">
        <f>IF($A24="","",IF(ROUND($G24,2)=0,"OK",IF($G24&lt;0,"Saldo negativo — acompanhar compensação",IF($K24="","Informar data de origem do saldo",IF($L24&lt;0,"Vencido — pagar como hora extra",IF($L24&lt;=30,"Vence "&amp;IF($L24=0,"hoje",IF($L24=1,"amanhã","em "&amp;$L24&amp;" dias"))&amp;" — programar folga ou pagar como HE","OK"))))))</f>
        <v/>
      </c>
      <c r="N24" s="28" t="n"/>
    </row>
    <row r="25" ht="18" customHeight="1">
      <c r="A25" s="28" t="n"/>
      <c r="B25" s="30" t="n"/>
      <c r="C25" s="41" t="n"/>
      <c r="D25" s="41" t="n"/>
      <c r="E25" s="41" t="n"/>
      <c r="F25" s="41" t="n"/>
      <c r="G25" s="41">
        <f>IF($A25="","",$C25+$D25-$E25-$F25)</f>
        <v/>
      </c>
      <c r="H25" s="30">
        <f>IF($G25="","",IF($G25&lt;0,"-","")&amp;TEXT(ABS($G25)/24,"[h]:mm"))</f>
        <v/>
      </c>
      <c r="I25" s="29" t="n"/>
      <c r="J25" s="32">
        <f>IF($A25="","",IF($B25="Coletivo",12,6))</f>
        <v/>
      </c>
      <c r="K25" s="29">
        <f>IF(OR($A25="",$I25=""),"",EDATE($I25,$J25))</f>
        <v/>
      </c>
      <c r="L25" s="32">
        <f>IF($K25="","",$K25-TODAY())</f>
        <v/>
      </c>
      <c r="M25" s="28">
        <f>IF($A25="","",IF(ROUND($G25,2)=0,"OK",IF($G25&lt;0,"Saldo negativo — acompanhar compensação",IF($K25="","Informar data de origem do saldo",IF($L25&lt;0,"Vencido — pagar como hora extra",IF($L25&lt;=30,"Vence "&amp;IF($L25=0,"hoje",IF($L25=1,"amanhã","em "&amp;$L25&amp;" dias"))&amp;" — programar folga ou pagar como HE","OK"))))))</f>
        <v/>
      </c>
      <c r="N25" s="28" t="n"/>
    </row>
    <row r="26" ht="18" customHeight="1">
      <c r="A26" s="28" t="n"/>
      <c r="B26" s="30" t="n"/>
      <c r="C26" s="41" t="n"/>
      <c r="D26" s="41" t="n"/>
      <c r="E26" s="41" t="n"/>
      <c r="F26" s="41" t="n"/>
      <c r="G26" s="41">
        <f>IF($A26="","",$C26+$D26-$E26-$F26)</f>
        <v/>
      </c>
      <c r="H26" s="30">
        <f>IF($G26="","",IF($G26&lt;0,"-","")&amp;TEXT(ABS($G26)/24,"[h]:mm"))</f>
        <v/>
      </c>
      <c r="I26" s="29" t="n"/>
      <c r="J26" s="32">
        <f>IF($A26="","",IF($B26="Coletivo",12,6))</f>
        <v/>
      </c>
      <c r="K26" s="29">
        <f>IF(OR($A26="",$I26=""),"",EDATE($I26,$J26))</f>
        <v/>
      </c>
      <c r="L26" s="32">
        <f>IF($K26="","",$K26-TODAY())</f>
        <v/>
      </c>
      <c r="M26" s="28">
        <f>IF($A26="","",IF(ROUND($G26,2)=0,"OK",IF($G26&lt;0,"Saldo negativo — acompanhar compensação",IF($K26="","Informar data de origem do saldo",IF($L26&lt;0,"Vencido — pagar como hora extra",IF($L26&lt;=30,"Vence "&amp;IF($L26=0,"hoje",IF($L26=1,"amanhã","em "&amp;$L26&amp;" dias"))&amp;" — programar folga ou pagar como HE","OK"))))))</f>
        <v/>
      </c>
      <c r="N26" s="28" t="n"/>
    </row>
    <row r="28" ht="20" customHeight="1">
      <c r="A28" s="33" t="inlineStr">
        <is>
          <t>Notas e referências legais</t>
        </is>
      </c>
    </row>
    <row r="29" ht="29" customHeight="1">
      <c r="A29" s="34" t="inlineStr">
        <is>
          <t>• Acordo individual escrito: compensação em até 6 meses (CLT, art. 59, §5º). Acordo ou convenção coletiva: no prazo do instrumento coletivo, limitado a 12 meses (art. 59, §2º) — se a CCT fixar prazo menor, ajuste a coluna de prazo.</t>
        </is>
      </c>
    </row>
    <row r="30" ht="29" customHeight="1">
      <c r="A30" s="34" t="inlineStr">
        <is>
          <t>• Compensação dentro do próprio mês pode ser ajustada por acordo individual, tácito ou escrito (art. 59, §6º). Jornada limitada a 10 horas diárias (art. 59, §2º).</t>
        </is>
      </c>
    </row>
    <row r="31" ht="16.5" customHeight="1">
      <c r="A31" s="34" t="inlineStr">
        <is>
          <t>• Horas não compensadas no prazo devem ser pagas como horas extras; na rescisão, o saldo positivo é pago como extra (art. 59, §3º).</t>
        </is>
      </c>
    </row>
    <row r="32" ht="29" customHeight="1">
      <c r="A32" s="34" t="inlineStr">
        <is>
          <t>• Fechou o mês? Copie o “Saldo atual” para o “Saldo anterior” do mês seguinte e atualize a data de origem do saldo mais antigo (critério: primeiro que entra, primeiro que sai).</t>
        </is>
      </c>
    </row>
    <row r="33" ht="16.5" customHeight="1">
      <c r="A33" s="34" t="inlineStr">
        <is>
          <t>• Conversão: 0,25 h = 15 min · 0,5 h = 30 min · 0,75 h = 45 min. A coluna h:mm converte automaticamente.</t>
        </is>
      </c>
    </row>
  </sheetData>
  <autoFilter ref="A6:N26"/>
  <mergeCells count="5">
    <mergeCell ref="A29:I29"/>
    <mergeCell ref="A33:I33"/>
    <mergeCell ref="A32:I32"/>
    <mergeCell ref="A31:I31"/>
    <mergeCell ref="A30:I30"/>
  </mergeCells>
  <conditionalFormatting sqref="M7:M26">
    <cfRule type="expression" priority="1" dxfId="0">
      <formula>LEFT($M7,7)="Vencido"</formula>
    </cfRule>
    <cfRule type="expression" priority="2" dxfId="1">
      <formula>OR(LEFT($M7,6)="Vence ",LEFT($M7,5)="Saldo",LEFT($M7,8)="Informar")</formula>
    </cfRule>
    <cfRule type="expression" priority="3" dxfId="2">
      <formula>$M7="OK"</formula>
    </cfRule>
  </conditionalFormatting>
  <conditionalFormatting sqref="A7:N26">
    <cfRule type="expression" priority="4" dxfId="6">
      <formula>MOD(ROW(),2)=0</formula>
    </cfRule>
  </conditionalFormatting>
  <dataValidations count="1">
    <dataValidation sqref="B7:B26" showDropDown="0" showInputMessage="0" showErrorMessage="1" allowBlank="1" errorTitle="Valor inválido" error="Escolha um valor da lista." type="list">
      <formula1>"Individual,Coletivo"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H29"/>
  <sheetViews>
    <sheetView tabSelected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0" customWidth="1" min="1" max="1"/>
    <col width="20" customWidth="1" min="2" max="2"/>
    <col width="12" customWidth="1" min="3" max="3"/>
    <col width="17" customWidth="1" min="4" max="4"/>
    <col width="11" customWidth="1" min="5" max="5"/>
    <col width="14" customWidth="1" min="6" max="6"/>
    <col width="28" customWidth="1" min="7" max="7"/>
    <col width="52" customWidth="1" min="8" max="8"/>
  </cols>
  <sheetData>
    <row r="1" ht="28" customHeight="1">
      <c r="A1" s="21" t="inlineStr">
        <is>
          <t>Fechamento do ponto e envio para a folha — checklist da competência</t>
        </is>
      </c>
    </row>
    <row r="2" ht="16" customHeight="1">
      <c r="A2" s="2" t="inlineStr">
        <is>
          <t>Informe a competência e a data de fechamento do ponto: as datas-limite são calculadas em dias úteis, descontando os feriados cadastrados na aba Atendimento.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 ht="18" customHeight="1">
      <c r="A4" s="22" t="inlineStr">
        <is>
          <t>Competência</t>
        </is>
      </c>
      <c r="B4" s="40" t="n">
        <v>46296</v>
      </c>
    </row>
    <row r="5" ht="18" customHeight="1">
      <c r="A5" s="22" t="inlineStr">
        <is>
          <t>Data de fechamento do ponto</t>
        </is>
      </c>
      <c r="B5" s="38" t="n">
        <v>46321</v>
      </c>
    </row>
    <row r="6" ht="18" customHeight="1">
      <c r="A6" s="22" t="inlineStr">
        <is>
          <t>% concluído da competência</t>
        </is>
      </c>
      <c r="B6" s="42">
        <f>IFERROR(COUNTIF($E$9:$E$22,"OK")/(COUNTA($A$9:$A$22)-COUNTIF($E$9:$E$22,"N/A")),0)</f>
        <v/>
      </c>
    </row>
    <row r="7">
      <c r="A7" s="25" t="inlineStr">
        <is>
          <t>preencher</t>
        </is>
      </c>
      <c r="B7" s="25" t="inlineStr">
        <is>
          <t>preencher</t>
        </is>
      </c>
      <c r="C7" s="26" t="inlineStr">
        <is>
          <t>automático</t>
        </is>
      </c>
      <c r="D7" s="25" t="inlineStr">
        <is>
          <t>preencher</t>
        </is>
      </c>
      <c r="E7" s="25" t="inlineStr">
        <is>
          <t>preencher</t>
        </is>
      </c>
      <c r="F7" s="25" t="inlineStr">
        <is>
          <t>preencher</t>
        </is>
      </c>
      <c r="G7" s="26" t="inlineStr">
        <is>
          <t>automático</t>
        </is>
      </c>
      <c r="H7" s="25" t="inlineStr">
        <is>
          <t>preencher</t>
        </is>
      </c>
    </row>
    <row r="8" ht="33" customHeight="1">
      <c r="A8" s="27" t="inlineStr">
        <is>
          <t>Etapa</t>
        </is>
      </c>
      <c r="B8" s="27" t="inlineStr">
        <is>
          <t>Prazo relativo (dias úteis)</t>
        </is>
      </c>
      <c r="C8" s="27" t="inlineStr">
        <is>
          <t>Data-limite</t>
        </is>
      </c>
      <c r="D8" s="27" t="inlineStr">
        <is>
          <t>Responsável</t>
        </is>
      </c>
      <c r="E8" s="27" t="inlineStr">
        <is>
          <t>Status</t>
        </is>
      </c>
      <c r="F8" s="27" t="inlineStr">
        <is>
          <t>Data concluída</t>
        </is>
      </c>
      <c r="G8" s="27" t="inlineStr">
        <is>
          <t>Alerta</t>
        </is>
      </c>
      <c r="H8" s="27" t="inlineStr">
        <is>
          <t>Observações</t>
        </is>
      </c>
    </row>
    <row r="9" ht="18" customHeight="1">
      <c r="A9" s="43" t="inlineStr">
        <is>
          <t>Tratamento de marcações ímpares e inconsistências do ponto</t>
        </is>
      </c>
      <c r="B9" s="44" t="n">
        <v>-5</v>
      </c>
      <c r="C9" s="29">
        <f>IF(OR($A9="",NOT(ISNUMBER($B9))),"",WORKDAY($B$5,$B9,Feriados))</f>
        <v/>
      </c>
      <c r="D9" s="30" t="inlineStr">
        <is>
          <t>RH</t>
        </is>
      </c>
      <c r="E9" s="30" t="inlineStr">
        <is>
          <t>OK</t>
        </is>
      </c>
      <c r="F9" s="29" t="n">
        <v>46314</v>
      </c>
      <c r="G9" s="28">
        <f>IF($A9="","",IF($E9="OK",IF(AND($F9&lt;&gt;"",$C9&lt;&gt;"",$F9&gt;$C9),"Concluído com atraso","Concluído"),IF($E9="N/A","Não se aplica",IF($C9="","Sem data fixa — acompanhar",IF($C9&lt;TODAY(),"Atrasado",IF($C9-TODAY()&lt;=2,"Atenção: vence "&amp;IF(($C9-TODAY())=0,"hoje",IF(($C9-TODAY())=1,"amanhã","em "&amp;($C9-TODAY())&amp;" dias")),"No prazo"))))))</f>
        <v/>
      </c>
      <c r="H9" s="43" t="n"/>
    </row>
    <row r="10" ht="18" customHeight="1">
      <c r="A10" s="43" t="inlineStr">
        <is>
          <t>Lançamento de atestados, declarações e justificativas de ausência</t>
        </is>
      </c>
      <c r="B10" s="44" t="n">
        <v>-4</v>
      </c>
      <c r="C10" s="29">
        <f>IF(OR($A10="",NOT(ISNUMBER($B10))),"",WORKDAY($B$5,$B10,Feriados))</f>
        <v/>
      </c>
      <c r="D10" s="30" t="inlineStr">
        <is>
          <t>RH</t>
        </is>
      </c>
      <c r="E10" s="30" t="inlineStr">
        <is>
          <t>Pendente</t>
        </is>
      </c>
      <c r="F10" s="29" t="n"/>
      <c r="G10" s="28">
        <f>IF($A10="","",IF($E10="OK",IF(AND($F10&lt;&gt;"",$C10&lt;&gt;"",$F10&gt;$C10),"Concluído com atraso","Concluído"),IF($E10="N/A","Não se aplica",IF($C10="","Sem data fixa — acompanhar",IF($C10&lt;TODAY(),"Atrasado",IF($C10-TODAY()&lt;=2,"Atenção: vence "&amp;IF(($C10-TODAY())=0,"hoje",IF(($C10-TODAY())=1,"amanhã","em "&amp;($C10-TODAY())&amp;" dias")),"No prazo"))))))</f>
        <v/>
      </c>
      <c r="H10" s="43" t="inlineStr">
        <is>
          <t>2 atestados aguardando entrega do original</t>
        </is>
      </c>
    </row>
    <row r="11" ht="18" customHeight="1">
      <c r="A11" s="43" t="inlineStr">
        <is>
          <t>Aprovação do espelho de ponto pelos gestores</t>
        </is>
      </c>
      <c r="B11" s="44" t="n">
        <v>-2</v>
      </c>
      <c r="C11" s="29">
        <f>IF(OR($A11="",NOT(ISNUMBER($B11))),"",WORKDAY($B$5,$B11,Feriados))</f>
        <v/>
      </c>
      <c r="D11" s="30" t="inlineStr">
        <is>
          <t>Gestor</t>
        </is>
      </c>
      <c r="E11" s="30" t="inlineStr">
        <is>
          <t>Pendente</t>
        </is>
      </c>
      <c r="F11" s="29" t="n"/>
      <c r="G11" s="28">
        <f>IF($A11="","",IF($E11="OK",IF(AND($F11&lt;&gt;"",$C11&lt;&gt;"",$F11&gt;$C11),"Concluído com atraso","Concluído"),IF($E11="N/A","Não se aplica",IF($C11="","Sem data fixa — acompanhar",IF($C11&lt;TODAY(),"Atrasado",IF($C11-TODAY()&lt;=2,"Atenção: vence "&amp;IF(($C11-TODAY())=0,"hoje",IF(($C11-TODAY())=1,"amanhã","em "&amp;($C11-TODAY())&amp;" dias")),"No prazo"))))))</f>
        <v/>
      </c>
      <c r="H11" s="43" t="inlineStr">
        <is>
          <t>Lembrete enviado aos gestores em 21/10</t>
        </is>
      </c>
    </row>
    <row r="12" ht="31" customHeight="1">
      <c r="A12" s="43" t="inlineStr">
        <is>
          <t>Conferência de horas extras: 50% (mínimo constitucional) e 100% (domingos e feriados não compensados)</t>
        </is>
      </c>
      <c r="B12" s="44" t="n">
        <v>-1</v>
      </c>
      <c r="C12" s="29">
        <f>IF(OR($A12="",NOT(ISNUMBER($B12))),"",WORKDAY($B$5,$B12,Feriados))</f>
        <v/>
      </c>
      <c r="D12" s="30" t="inlineStr">
        <is>
          <t>RH</t>
        </is>
      </c>
      <c r="E12" s="30" t="inlineStr">
        <is>
          <t>Pendente</t>
        </is>
      </c>
      <c r="F12" s="29" t="n"/>
      <c r="G12" s="28">
        <f>IF($A12="","",IF($E12="OK",IF(AND($F12&lt;&gt;"",$C12&lt;&gt;"",$F12&gt;$C12),"Concluído com atraso","Concluído"),IF($E12="N/A","Não se aplica",IF($C12="","Sem data fixa — acompanhar",IF($C12&lt;TODAY(),"Atrasado",IF($C12-TODAY()&lt;=2,"Atenção: vence "&amp;IF(($C12-TODAY())=0,"hoje",IF(($C12-TODAY())=1,"amanhã","em "&amp;($C12-TODAY())&amp;" dias")),"No prazo"))))))</f>
        <v/>
      </c>
      <c r="H12" s="43" t="n"/>
    </row>
    <row r="13" ht="18" customHeight="1">
      <c r="A13" s="43" t="inlineStr">
        <is>
          <t>Adicional noturno: trabalho entre 22h e 5h, hora noturna de 52min30s (CLT, art. 73)</t>
        </is>
      </c>
      <c r="B13" s="44" t="n">
        <v>-1</v>
      </c>
      <c r="C13" s="29">
        <f>IF(OR($A13="",NOT(ISNUMBER($B13))),"",WORKDAY($B$5,$B13,Feriados))</f>
        <v/>
      </c>
      <c r="D13" s="30" t="inlineStr">
        <is>
          <t>RH</t>
        </is>
      </c>
      <c r="E13" s="30" t="inlineStr">
        <is>
          <t>OK</t>
        </is>
      </c>
      <c r="F13" s="29" t="n">
        <v>46316</v>
      </c>
      <c r="G13" s="28">
        <f>IF($A13="","",IF($E13="OK",IF(AND($F13&lt;&gt;"",$C13&lt;&gt;"",$F13&gt;$C13),"Concluído com atraso","Concluído"),IF($E13="N/A","Não se aplica",IF($C13="","Sem data fixa — acompanhar",IF($C13&lt;TODAY(),"Atrasado",IF($C13-TODAY()&lt;=2,"Atenção: vence "&amp;IF(($C13-TODAY())=0,"hoje",IF(($C13-TODAY())=1,"amanhã","em "&amp;($C13-TODAY())&amp;" dias")),"No prazo"))))))</f>
        <v/>
      </c>
      <c r="H13" s="43" t="n"/>
    </row>
    <row r="14" ht="18" customHeight="1">
      <c r="A14" s="43" t="inlineStr">
        <is>
          <t>Faltas e atrasos injustificados com reflexo no DSR (Lei 605/1949)</t>
        </is>
      </c>
      <c r="B14" s="44" t="n">
        <v>-1</v>
      </c>
      <c r="C14" s="29">
        <f>IF(OR($A14="",NOT(ISNUMBER($B14))),"",WORKDAY($B$5,$B14,Feriados))</f>
        <v/>
      </c>
      <c r="D14" s="30" t="inlineStr">
        <is>
          <t>RH</t>
        </is>
      </c>
      <c r="E14" s="30" t="inlineStr">
        <is>
          <t>Pendente</t>
        </is>
      </c>
      <c r="F14" s="29" t="n"/>
      <c r="G14" s="28">
        <f>IF($A14="","",IF($E14="OK",IF(AND($F14&lt;&gt;"",$C14&lt;&gt;"",$F14&gt;$C14),"Concluído com atraso","Concluído"),IF($E14="N/A","Não se aplica",IF($C14="","Sem data fixa — acompanhar",IF($C14&lt;TODAY(),"Atrasado",IF($C14-TODAY()&lt;=2,"Atenção: vence "&amp;IF(($C14-TODAY())=0,"hoje",IF(($C14-TODAY())=1,"amanhã","em "&amp;($C14-TODAY())&amp;" dias")),"No prazo"))))))</f>
        <v/>
      </c>
      <c r="H14" s="43" t="n"/>
    </row>
    <row r="15" ht="31" customHeight="1">
      <c r="A15" s="43" t="inlineStr">
        <is>
          <t>Banco de horas: lançar créditos e débitos do mês e conferir saldos a vencer (aba Banco de Horas)</t>
        </is>
      </c>
      <c r="B15" s="44" t="n">
        <v>-1</v>
      </c>
      <c r="C15" s="29">
        <f>IF(OR($A15="",NOT(ISNUMBER($B15))),"",WORKDAY($B$5,$B15,Feriados))</f>
        <v/>
      </c>
      <c r="D15" s="30" t="inlineStr">
        <is>
          <t>RH</t>
        </is>
      </c>
      <c r="E15" s="30" t="inlineStr">
        <is>
          <t>Pendente</t>
        </is>
      </c>
      <c r="F15" s="29" t="n"/>
      <c r="G15" s="28">
        <f>IF($A15="","",IF($E15="OK",IF(AND($F15&lt;&gt;"",$C15&lt;&gt;"",$F15&gt;$C15),"Concluído com atraso","Concluído"),IF($E15="N/A","Não se aplica",IF($C15="","Sem data fixa — acompanhar",IF($C15&lt;TODAY(),"Atrasado",IF($C15-TODAY()&lt;=2,"Atenção: vence "&amp;IF(($C15-TODAY())=0,"hoje",IF(($C15-TODAY())=1,"amanhã","em "&amp;($C15-TODAY())&amp;" dias")),"No prazo"))))))</f>
        <v/>
      </c>
      <c r="H15" s="43" t="n"/>
    </row>
    <row r="16" ht="18" customHeight="1">
      <c r="A16" s="43" t="inlineStr">
        <is>
          <t>Fechamento e bloqueio do período de ponto</t>
        </is>
      </c>
      <c r="B16" s="44" t="n">
        <v>0</v>
      </c>
      <c r="C16" s="29">
        <f>IF(OR($A16="",NOT(ISNUMBER($B16))),"",WORKDAY($B$5,$B16,Feriados))</f>
        <v/>
      </c>
      <c r="D16" s="30" t="inlineStr">
        <is>
          <t>RH</t>
        </is>
      </c>
      <c r="E16" s="30" t="inlineStr">
        <is>
          <t>Pendente</t>
        </is>
      </c>
      <c r="F16" s="29" t="n"/>
      <c r="G16" s="28">
        <f>IF($A16="","",IF($E16="OK",IF(AND($F16&lt;&gt;"",$C16&lt;&gt;"",$F16&gt;$C16),"Concluído com atraso","Concluído"),IF($E16="N/A","Não se aplica",IF($C16="","Sem data fixa — acompanhar",IF($C16&lt;TODAY(),"Atrasado",IF($C16-TODAY()&lt;=2,"Atenção: vence "&amp;IF(($C16-TODAY())=0,"hoje",IF(($C16-TODAY())=1,"amanhã","em "&amp;($C16-TODAY())&amp;" dias")),"No prazo"))))))</f>
        <v/>
      </c>
      <c r="H16" s="43" t="n"/>
    </row>
    <row r="17" ht="18" customHeight="1">
      <c r="A17" s="43" t="inlineStr">
        <is>
          <t>Conferência da prévia da folha (relatório de eventos variáveis)</t>
        </is>
      </c>
      <c r="B17" s="44" t="n">
        <v>1</v>
      </c>
      <c r="C17" s="29">
        <f>IF(OR($A17="",NOT(ISNUMBER($B17))),"",WORKDAY($B$5,$B17,Feriados))</f>
        <v/>
      </c>
      <c r="D17" s="30" t="inlineStr">
        <is>
          <t>RH</t>
        </is>
      </c>
      <c r="E17" s="30" t="inlineStr">
        <is>
          <t>Pendente</t>
        </is>
      </c>
      <c r="F17" s="29" t="n"/>
      <c r="G17" s="28">
        <f>IF($A17="","",IF($E17="OK",IF(AND($F17&lt;&gt;"",$C17&lt;&gt;"",$F17&gt;$C17),"Concluído com atraso","Concluído"),IF($E17="N/A","Não se aplica",IF($C17="","Sem data fixa — acompanhar",IF($C17&lt;TODAY(),"Atrasado",IF($C17-TODAY()&lt;=2,"Atenção: vence "&amp;IF(($C17-TODAY())=0,"hoje",IF(($C17-TODAY())=1,"amanhã","em "&amp;($C17-TODAY())&amp;" dias")),"No prazo"))))))</f>
        <v/>
      </c>
      <c r="H17" s="43" t="n"/>
    </row>
    <row r="18" ht="18" customHeight="1">
      <c r="A18" s="43" t="inlineStr">
        <is>
          <t>Envio das informações para a folha (DP central / contabilidade)</t>
        </is>
      </c>
      <c r="B18" s="44" t="n">
        <v>2</v>
      </c>
      <c r="C18" s="29">
        <f>IF(OR($A18="",NOT(ISNUMBER($B18))),"",WORKDAY($B$5,$B18,Feriados))</f>
        <v/>
      </c>
      <c r="D18" s="30" t="inlineStr">
        <is>
          <t>RH</t>
        </is>
      </c>
      <c r="E18" s="30" t="inlineStr">
        <is>
          <t>Pendente</t>
        </is>
      </c>
      <c r="F18" s="29" t="n"/>
      <c r="G18" s="28">
        <f>IF($A18="","",IF($E18="OK",IF(AND($F18&lt;&gt;"",$C18&lt;&gt;"",$F18&gt;$C18),"Concluído com atraso","Concluído"),IF($E18="N/A","Não se aplica",IF($C18="","Sem data fixa — acompanhar",IF($C18&lt;TODAY(),"Atrasado",IF($C18-TODAY()&lt;=2,"Atenção: vence "&amp;IF(($C18-TODAY())=0,"hoje",IF(($C18-TODAY())=1,"amanhã","em "&amp;($C18-TODAY())&amp;" dias")),"No prazo"))))))</f>
        <v/>
      </c>
      <c r="H18" s="43" t="n"/>
    </row>
    <row r="19" ht="18" customHeight="1">
      <c r="A19" s="43" t="inlineStr">
        <is>
          <t>Conferência pós-folha: holerites, líquidos, descontos e pensões</t>
        </is>
      </c>
      <c r="B19" s="44" t="n">
        <v>5</v>
      </c>
      <c r="C19" s="29">
        <f>IF(OR($A19="",NOT(ISNUMBER($B19))),"",WORKDAY($B$5,$B19,Feriados))</f>
        <v/>
      </c>
      <c r="D19" s="30" t="inlineStr">
        <is>
          <t>RH</t>
        </is>
      </c>
      <c r="E19" s="30" t="inlineStr">
        <is>
          <t>Pendente</t>
        </is>
      </c>
      <c r="F19" s="29" t="n"/>
      <c r="G19" s="28">
        <f>IF($A19="","",IF($E19="OK",IF(AND($F19&lt;&gt;"",$C19&lt;&gt;"",$F19&gt;$C19),"Concluído com atraso","Concluído"),IF($E19="N/A","Não se aplica",IF($C19="","Sem data fixa — acompanhar",IF($C19&lt;TODAY(),"Atrasado",IF($C19-TODAY()&lt;=2,"Atenção: vence "&amp;IF(($C19-TODAY())=0,"hoje",IF(($C19-TODAY())=1,"amanhã","em "&amp;($C19-TODAY())&amp;" dias")),"No prazo"))))))</f>
        <v/>
      </c>
      <c r="H19" s="43" t="inlineStr">
        <is>
          <t>Data-limite já desconta o feriado de 02/11</t>
        </is>
      </c>
    </row>
    <row r="20" ht="18" customHeight="1">
      <c r="A20" s="43" t="inlineStr">
        <is>
          <t>eSocial — conferência dos eventos periódicos (S-1200, S-1210 e S-1299)</t>
        </is>
      </c>
      <c r="B20" s="44" t="inlineStr">
        <is>
          <t>Calendário eSocial</t>
        </is>
      </c>
      <c r="C20" s="29">
        <f>IF(OR($A20="",NOT(ISNUMBER($B20))),"",WORKDAY($B$5,$B20,Feriados))</f>
        <v/>
      </c>
      <c r="D20" s="30" t="inlineStr">
        <is>
          <t>DP/Contabilidade</t>
        </is>
      </c>
      <c r="E20" s="30" t="inlineStr">
        <is>
          <t>Pendente</t>
        </is>
      </c>
      <c r="F20" s="29" t="n"/>
      <c r="G20" s="28">
        <f>IF($A20="","",IF($E20="OK",IF(AND($F20&lt;&gt;"",$C20&lt;&gt;"",$F20&gt;$C20),"Concluído com atraso","Concluído"),IF($E20="N/A","Não se aplica",IF($C20="","Sem data fixa — acompanhar",IF($C20&lt;TODAY(),"Atrasado",IF($C20-TODAY()&lt;=2,"Atenção: vence "&amp;IF(($C20-TODAY())=0,"hoje",IF(($C20-TODAY())=1,"amanhã","em "&amp;($C20-TODAY())&amp;" dias")),"No prazo"))))))</f>
        <v/>
      </c>
      <c r="H20" s="43" t="inlineStr">
        <is>
          <t>Prazos conforme o calendário oficial do eSocial / DCTFWeb</t>
        </is>
      </c>
    </row>
    <row r="21" ht="18" customHeight="1">
      <c r="A21" s="43" t="n"/>
      <c r="B21" s="44" t="n"/>
      <c r="C21" s="29">
        <f>IF(OR($A21="",NOT(ISNUMBER($B21))),"",WORKDAY($B$5,$B21,Feriados))</f>
        <v/>
      </c>
      <c r="D21" s="30" t="n"/>
      <c r="E21" s="30" t="n"/>
      <c r="F21" s="29" t="n"/>
      <c r="G21" s="28">
        <f>IF($A21="","",IF($E21="OK",IF(AND($F21&lt;&gt;"",$C21&lt;&gt;"",$F21&gt;$C21),"Concluído com atraso","Concluído"),IF($E21="N/A","Não se aplica",IF($C21="","Sem data fixa — acompanhar",IF($C21&lt;TODAY(),"Atrasado",IF($C21-TODAY()&lt;=2,"Atenção: vence "&amp;IF(($C21-TODAY())=0,"hoje",IF(($C21-TODAY())=1,"amanhã","em "&amp;($C21-TODAY())&amp;" dias")),"No prazo"))))))</f>
        <v/>
      </c>
      <c r="H21" s="43" t="n"/>
    </row>
    <row r="22" ht="18" customHeight="1">
      <c r="A22" s="43" t="n"/>
      <c r="B22" s="44" t="n"/>
      <c r="C22" s="29">
        <f>IF(OR($A22="",NOT(ISNUMBER($B22))),"",WORKDAY($B$5,$B22,Feriados))</f>
        <v/>
      </c>
      <c r="D22" s="30" t="n"/>
      <c r="E22" s="30" t="n"/>
      <c r="F22" s="29" t="n"/>
      <c r="G22" s="28">
        <f>IF($A22="","",IF($E22="OK",IF(AND($F22&lt;&gt;"",$C22&lt;&gt;"",$F22&gt;$C22),"Concluído com atraso","Concluído"),IF($E22="N/A","Não se aplica",IF($C22="","Sem data fixa — acompanhar",IF($C22&lt;TODAY(),"Atrasado",IF($C22-TODAY()&lt;=2,"Atenção: vence "&amp;IF(($C22-TODAY())=0,"hoje",IF(($C22-TODAY())=1,"amanhã","em "&amp;($C22-TODAY())&amp;" dias")),"No prazo"))))))</f>
        <v/>
      </c>
      <c r="H22" s="43" t="n"/>
    </row>
    <row r="24" ht="20" customHeight="1">
      <c r="A24" s="33" t="inlineStr">
        <is>
          <t>Notas e referências legais</t>
        </is>
      </c>
    </row>
    <row r="25" ht="16.5" customHeight="1">
      <c r="A25" s="34" t="inlineStr">
        <is>
          <t>• As datas-limite usam dias úteis (função DIATRABALHO / WORKDAY) a partir da data de fechamento, descontando os feriados da aba Atendimento.</t>
        </is>
      </c>
    </row>
    <row r="26" ht="29" customHeight="1">
      <c r="A26" s="34" t="inlineStr">
        <is>
          <t>• Hora extra: adicional mínimo de 50% (CF, art. 7º, XVI); domingos e feriados trabalhados sem folga compensatória são pagos em dobro (Lei 605/1949; Súmula 146 do TST). Percentuais maiores podem estar na CCT.</t>
        </is>
      </c>
    </row>
    <row r="27" ht="29" customHeight="1">
      <c r="A27" s="34" t="inlineStr">
        <is>
          <t>• Adicional noturno (trabalhador urbano): trabalho entre 22h e 5h, hora noturna de 52 minutos e 30 segundos e acréscimo mínimo de 20% sobre a hora diurna (CLT, art. 73).</t>
        </is>
      </c>
    </row>
    <row r="28" ht="16.5" customHeight="1">
      <c r="A28" s="34" t="inlineStr">
        <is>
          <t>• Falta injustificada na semana faz perder a remuneração do repouso semanal (Lei 605/1949, art. 6º).</t>
        </is>
      </c>
    </row>
    <row r="29" ht="29" customHeight="1">
      <c r="A29" s="34" t="inlineStr">
        <is>
          <t>• Eventos periódicos do eSocial (S-1200 remunerações, S-1210 pagamentos, S-1299 fechamento): siga o calendário oficial do eSocial/DCTFWeb de cada competência.</t>
        </is>
      </c>
    </row>
  </sheetData>
  <autoFilter ref="A8:H22"/>
  <mergeCells count="5">
    <mergeCell ref="A29:E29"/>
    <mergeCell ref="A26:E26"/>
    <mergeCell ref="A28:E28"/>
    <mergeCell ref="A25:E25"/>
    <mergeCell ref="A27:E27"/>
  </mergeCells>
  <conditionalFormatting sqref="G9:G22">
    <cfRule type="expression" priority="1" dxfId="0">
      <formula>$G9="Atrasado"</formula>
    </cfRule>
    <cfRule type="expression" priority="2" dxfId="1">
      <formula>OR(LEFT($G9,7)="Atenção",$G9="Concluído com atraso")</formula>
    </cfRule>
    <cfRule type="expression" priority="3" dxfId="2">
      <formula>$G9="Concluído"</formula>
    </cfRule>
    <cfRule type="expression" priority="4" dxfId="5">
      <formula>OR($G9="Não se aplica",LEFT($G9,8)="Sem data")</formula>
    </cfRule>
  </conditionalFormatting>
  <conditionalFormatting sqref="E9:E22">
    <cfRule type="expression" priority="5" dxfId="3">
      <formula>E9="OK"</formula>
    </cfRule>
    <cfRule type="expression" priority="6" dxfId="4">
      <formula>E9="Pendente"</formula>
    </cfRule>
    <cfRule type="expression" priority="7" dxfId="5">
      <formula>E9="N/A"</formula>
    </cfRule>
  </conditionalFormatting>
  <conditionalFormatting sqref="B6">
    <cfRule type="dataBar" priority="8">
      <dataBar showValue="1">
        <cfvo type="num" val="0"/>
        <cfvo type="num" val="1"/>
        <color rgb="003346B0"/>
      </dataBar>
    </cfRule>
  </conditionalFormatting>
  <conditionalFormatting sqref="A9:H22">
    <cfRule type="expression" priority="9" dxfId="6">
      <formula>MOD(ROW(),2)=0</formula>
    </cfRule>
  </conditionalFormatting>
  <dataValidations count="2">
    <dataValidation sqref="D9:D22" showDropDown="0" showInputMessage="0" showErrorMessage="1" allowBlank="1" errorTitle="Valor inválido" error="Escolha um valor da lista." type="list">
      <formula1>"RH,Gestor,DP/Contabilidade"</formula1>
    </dataValidation>
    <dataValidation sqref="E9:E22" showDropDown="0" showInputMessage="0" showErrorMessage="1" allowBlank="1" errorTitle="Valor inválido" error="Escolha um valor da lista." type="list">
      <formula1>"Pendente,OK,N/A"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T33"/>
  <sheetViews>
    <sheetView tabSelected="0" zoomScale="85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2" customWidth="1" min="2" max="2"/>
    <col width="22" customWidth="1" min="3" max="3"/>
    <col width="12" customWidth="1" min="4" max="4"/>
    <col width="13" customWidth="1" min="5" max="5"/>
    <col width="16" customWidth="1" min="6" max="6"/>
    <col width="10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6" customWidth="1" min="13" max="13"/>
    <col width="13" customWidth="1" min="14" max="14"/>
    <col width="16" customWidth="1" min="15" max="15"/>
    <col width="13" customWidth="1" min="16" max="16"/>
    <col width="13" customWidth="1" min="17" max="17"/>
    <col width="11" customWidth="1" min="18" max="18"/>
    <col width="38" customWidth="1" min="19" max="19"/>
    <col width="48" customWidth="1" min="20" max="20"/>
  </cols>
  <sheetData>
    <row r="1" ht="28" customHeight="1">
      <c r="A1" s="21" t="inlineStr">
        <is>
          <t>Desligamento — checklist de rescisão e prazo de pagamento</t>
        </is>
      </c>
    </row>
    <row r="2" ht="16" customHeight="1">
      <c r="A2" s="2" t="inlineStr">
        <is>
          <t>Uma linha por desligamento. A data-limite das verbas (término + 10 dias) e o status são calculados; marque cada etapa como OK, Pendente ou N/A.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>
      <c r="A4" s="25" t="inlineStr">
        <is>
          <t>preencher</t>
        </is>
      </c>
      <c r="B4" s="25" t="inlineStr">
        <is>
          <t>preencher</t>
        </is>
      </c>
      <c r="C4" s="25" t="inlineStr">
        <is>
          <t>preencher</t>
        </is>
      </c>
      <c r="D4" s="25" t="inlineStr">
        <is>
          <t>preencher</t>
        </is>
      </c>
      <c r="E4" s="25" t="inlineStr">
        <is>
          <t>preencher</t>
        </is>
      </c>
      <c r="F4" s="26" t="inlineStr">
        <is>
          <t>automático</t>
        </is>
      </c>
      <c r="G4" s="26" t="inlineStr">
        <is>
          <t>automático</t>
        </is>
      </c>
      <c r="H4" s="25" t="inlineStr">
        <is>
          <t>preencher</t>
        </is>
      </c>
      <c r="I4" s="25" t="inlineStr">
        <is>
          <t>preencher</t>
        </is>
      </c>
      <c r="J4" s="25" t="inlineStr">
        <is>
          <t>preencher</t>
        </is>
      </c>
      <c r="K4" s="25" t="inlineStr">
        <is>
          <t>preencher</t>
        </is>
      </c>
      <c r="L4" s="25" t="inlineStr">
        <is>
          <t>preencher</t>
        </is>
      </c>
      <c r="M4" s="25" t="inlineStr">
        <is>
          <t>preencher</t>
        </is>
      </c>
      <c r="N4" s="25" t="inlineStr">
        <is>
          <t>preencher</t>
        </is>
      </c>
      <c r="O4" s="25" t="inlineStr">
        <is>
          <t>preencher</t>
        </is>
      </c>
      <c r="P4" s="25" t="inlineStr">
        <is>
          <t>preencher</t>
        </is>
      </c>
      <c r="Q4" s="25" t="inlineStr">
        <is>
          <t>preencher</t>
        </is>
      </c>
      <c r="R4" s="26" t="inlineStr">
        <is>
          <t>automático</t>
        </is>
      </c>
      <c r="S4" s="26" t="inlineStr">
        <is>
          <t>automático</t>
        </is>
      </c>
      <c r="T4" s="25" t="inlineStr">
        <is>
          <t>preencher</t>
        </is>
      </c>
    </row>
    <row r="5" ht="70.5" customHeight="1">
      <c r="A5" s="27" t="inlineStr">
        <is>
          <t>Colaborador</t>
        </is>
      </c>
      <c r="B5" s="27" t="inlineStr">
        <is>
          <t>Cargo</t>
        </is>
      </c>
      <c r="C5" s="27" t="inlineStr">
        <is>
          <t>Tipo de desligamento</t>
        </is>
      </c>
      <c r="D5" s="27" t="inlineStr">
        <is>
          <t>Data do término do contrato</t>
        </is>
      </c>
      <c r="E5" s="27" t="inlineStr">
        <is>
          <t>Aviso prévio</t>
        </is>
      </c>
      <c r="F5" s="27" t="inlineStr">
        <is>
          <t>Pagamento das verbas até (término + 10 dias — art. 477, §6º)</t>
        </is>
      </c>
      <c r="G5" s="27" t="inlineStr">
        <is>
          <t>Dias restantes</t>
        </is>
      </c>
      <c r="H5" s="27" t="inlineStr">
        <is>
          <t>Comunicação ao gestor</t>
        </is>
      </c>
      <c r="I5" s="27" t="inlineStr">
        <is>
          <t>Exame demissional (ASO)</t>
        </is>
      </c>
      <c r="J5" s="27" t="inlineStr">
        <is>
          <t>Cálculo da rescisão conferido</t>
        </is>
      </c>
      <c r="K5" s="27" t="inlineStr">
        <is>
          <t>TRCT assinado</t>
        </is>
      </c>
      <c r="L5" s="27" t="inlineStr">
        <is>
          <t>Pagamento das verbas efetuado</t>
        </is>
      </c>
      <c r="M5" s="27" t="inlineStr">
        <is>
          <t>Chave FGTS / guias (seguro-desemprego quando aplicável)</t>
        </is>
      </c>
      <c r="N5" s="27" t="inlineStr">
        <is>
          <t>eSocial S-2299 enviado</t>
        </is>
      </c>
      <c r="O5" s="27" t="inlineStr">
        <is>
          <t>Devolução de crachá / EPI / uniforme</t>
        </is>
      </c>
      <c r="P5" s="27" t="inlineStr">
        <is>
          <t>Baixa em benefícios</t>
        </is>
      </c>
      <c r="Q5" s="27" t="inlineStr">
        <is>
          <t>Entrevista de desligamento</t>
        </is>
      </c>
      <c r="R5" s="27" t="inlineStr">
        <is>
          <t>% concluído</t>
        </is>
      </c>
      <c r="S5" s="27" t="inlineStr">
        <is>
          <t>Status</t>
        </is>
      </c>
      <c r="T5" s="27" t="inlineStr">
        <is>
          <t>Observações</t>
        </is>
      </c>
    </row>
    <row r="6" ht="18" customHeight="1">
      <c r="A6" s="28" t="inlineStr">
        <is>
          <t>Vanessa Ramos Pinto</t>
        </is>
      </c>
      <c r="B6" s="28" t="inlineStr">
        <is>
          <t>Assistente comercial</t>
        </is>
      </c>
      <c r="C6" s="28" t="inlineStr">
        <is>
          <t>Pedido de demissão</t>
        </is>
      </c>
      <c r="D6" s="29" t="n">
        <v>46311</v>
      </c>
      <c r="E6" s="30" t="inlineStr">
        <is>
          <t>Trabalhado</t>
        </is>
      </c>
      <c r="F6" s="29">
        <f>IF(OR($A6="",$D6=""),"",$D6+10)</f>
        <v/>
      </c>
      <c r="G6" s="32">
        <f>IF($F6="","",$F6-TODAY())</f>
        <v/>
      </c>
      <c r="H6" s="30" t="inlineStr">
        <is>
          <t>OK</t>
        </is>
      </c>
      <c r="I6" s="30" t="inlineStr">
        <is>
          <t>OK</t>
        </is>
      </c>
      <c r="J6" s="30" t="inlineStr">
        <is>
          <t>OK</t>
        </is>
      </c>
      <c r="K6" s="30" t="inlineStr">
        <is>
          <t>Pendente</t>
        </is>
      </c>
      <c r="L6" s="30" t="inlineStr">
        <is>
          <t>Pendente</t>
        </is>
      </c>
      <c r="M6" s="30" t="inlineStr">
        <is>
          <t>N/A</t>
        </is>
      </c>
      <c r="N6" s="30" t="inlineStr">
        <is>
          <t>Pendente</t>
        </is>
      </c>
      <c r="O6" s="30" t="inlineStr">
        <is>
          <t>OK</t>
        </is>
      </c>
      <c r="P6" s="30" t="inlineStr">
        <is>
          <t>Pendente</t>
        </is>
      </c>
      <c r="Q6" s="30" t="inlineStr">
        <is>
          <t>OK</t>
        </is>
      </c>
      <c r="R6" s="31">
        <f>IF($A6="","",IFERROR(COUNTIF($H6:$Q6,"OK")/(10-COUNTIF($H6:$Q6,"N/A")),0))</f>
        <v/>
      </c>
      <c r="S6" s="28">
        <f>IF($A6="","",IF($R6=1,"Concluído",IF($L6&lt;&gt;"OK",IF($F6="","Informar data do término",IF($G6&lt;0,"Atrasado — verbas fora do prazo (art. 477, §6º)",IF($G6&lt;=5,"Atenção: pagamento vence "&amp;IF($G6=0,"hoje",IF($G6=1,"amanhã","em "&amp;$G6&amp;" dias")),"Em andamento"))),"Atenção: pendências após o pagamento")))</f>
        <v/>
      </c>
      <c r="T6" s="28" t="inlineStr">
        <is>
          <t>Sem saque do FGTS e sem seguro-desemprego</t>
        </is>
      </c>
    </row>
    <row r="7" ht="18" customHeight="1">
      <c r="A7" s="28" t="inlineStr">
        <is>
          <t>Marcelo Antunes Freitas</t>
        </is>
      </c>
      <c r="B7" s="28" t="inlineStr">
        <is>
          <t>Auxiliar de logística</t>
        </is>
      </c>
      <c r="C7" s="28" t="inlineStr">
        <is>
          <t>Sem justa causa</t>
        </is>
      </c>
      <c r="D7" s="29" t="n">
        <v>46304</v>
      </c>
      <c r="E7" s="30" t="inlineStr">
        <is>
          <t>Indenizado</t>
        </is>
      </c>
      <c r="F7" s="29">
        <f>IF(OR($A7="",$D7=""),"",$D7+10)</f>
        <v/>
      </c>
      <c r="G7" s="32">
        <f>IF($F7="","",$F7-TODAY())</f>
        <v/>
      </c>
      <c r="H7" s="30" t="inlineStr">
        <is>
          <t>OK</t>
        </is>
      </c>
      <c r="I7" s="30" t="inlineStr">
        <is>
          <t>OK</t>
        </is>
      </c>
      <c r="J7" s="30" t="inlineStr">
        <is>
          <t>OK</t>
        </is>
      </c>
      <c r="K7" s="30" t="inlineStr">
        <is>
          <t>OK</t>
        </is>
      </c>
      <c r="L7" s="30" t="inlineStr">
        <is>
          <t>OK</t>
        </is>
      </c>
      <c r="M7" s="30" t="inlineStr">
        <is>
          <t>OK</t>
        </is>
      </c>
      <c r="N7" s="30" t="inlineStr">
        <is>
          <t>OK</t>
        </is>
      </c>
      <c r="O7" s="30" t="inlineStr">
        <is>
          <t>OK</t>
        </is>
      </c>
      <c r="P7" s="30" t="inlineStr">
        <is>
          <t>Pendente</t>
        </is>
      </c>
      <c r="Q7" s="30" t="inlineStr">
        <is>
          <t>Pendente</t>
        </is>
      </c>
      <c r="R7" s="31">
        <f>IF($A7="","",IFERROR(COUNTIF($H7:$Q7,"OK")/(10-COUNTIF($H7:$Q7,"N/A")),0))</f>
        <v/>
      </c>
      <c r="S7" s="28">
        <f>IF($A7="","",IF($R7=1,"Concluído",IF($L7&lt;&gt;"OK",IF($F7="","Informar data do término",IF($G7&lt;0,"Atrasado — verbas fora do prazo (art. 477, §6º)",IF($G7&lt;=5,"Atenção: pagamento vence "&amp;IF($G7=0,"hoje",IF($G7=1,"amanhã","em "&amp;$G7&amp;" dias")),"Em andamento"))),"Atenção: pendências após o pagamento")))</f>
        <v/>
      </c>
      <c r="T7" s="28" t="inlineStr">
        <is>
          <t>Verbas pagas em 16/10; pendente baixa ou manutenção do plano de saúde</t>
        </is>
      </c>
    </row>
    <row r="8" ht="18" customHeight="1">
      <c r="A8" s="28" t="inlineStr">
        <is>
          <t>Eduardo Pires Monteiro</t>
        </is>
      </c>
      <c r="B8" s="28" t="inlineStr">
        <is>
          <t>Motorista</t>
        </is>
      </c>
      <c r="C8" s="28" t="inlineStr">
        <is>
          <t>Sem justa causa</t>
        </is>
      </c>
      <c r="D8" s="29" t="n">
        <v>46303</v>
      </c>
      <c r="E8" s="30" t="inlineStr">
        <is>
          <t>Indenizado</t>
        </is>
      </c>
      <c r="F8" s="29">
        <f>IF(OR($A8="",$D8=""),"",$D8+10)</f>
        <v/>
      </c>
      <c r="G8" s="32">
        <f>IF($F8="","",$F8-TODAY())</f>
        <v/>
      </c>
      <c r="H8" s="30" t="inlineStr">
        <is>
          <t>OK</t>
        </is>
      </c>
      <c r="I8" s="30" t="inlineStr">
        <is>
          <t>OK</t>
        </is>
      </c>
      <c r="J8" s="30" t="inlineStr">
        <is>
          <t>OK</t>
        </is>
      </c>
      <c r="K8" s="30" t="inlineStr">
        <is>
          <t>Pendente</t>
        </is>
      </c>
      <c r="L8" s="30" t="inlineStr">
        <is>
          <t>Pendente</t>
        </is>
      </c>
      <c r="M8" s="30" t="inlineStr">
        <is>
          <t>Pendente</t>
        </is>
      </c>
      <c r="N8" s="30" t="inlineStr">
        <is>
          <t>Pendente</t>
        </is>
      </c>
      <c r="O8" s="30" t="inlineStr">
        <is>
          <t>OK</t>
        </is>
      </c>
      <c r="P8" s="30" t="inlineStr">
        <is>
          <t>Pendente</t>
        </is>
      </c>
      <c r="Q8" s="30" t="inlineStr">
        <is>
          <t>N/A</t>
        </is>
      </c>
      <c r="R8" s="31">
        <f>IF($A8="","",IFERROR(COUNTIF($H8:$Q8,"OK")/(10-COUNTIF($H8:$Q8,"N/A")),0))</f>
        <v/>
      </c>
      <c r="S8" s="28">
        <f>IF($A8="","",IF($R8=1,"Concluído",IF($L8&lt;&gt;"OK",IF($F8="","Informar data do término",IF($G8&lt;0,"Atrasado — verbas fora do prazo (art. 477, §6º)",IF($G8&lt;=5,"Atenção: pagamento vence "&amp;IF($G8=0,"hoje",IF($G8=1,"amanhã","em "&amp;$G8&amp;" dias")),"Em andamento"))),"Atenção: pendências após o pagamento")))</f>
        <v/>
      </c>
      <c r="T8" s="28" t="inlineStr">
        <is>
          <t>Prazo vencido em 18/10: pagar imediatamente (risco da multa do art. 477, §8º)</t>
        </is>
      </c>
    </row>
    <row r="9" ht="18" customHeight="1">
      <c r="A9" s="28" t="inlineStr">
        <is>
          <t>Larissa Campos Duarte</t>
        </is>
      </c>
      <c r="B9" s="28" t="inlineStr">
        <is>
          <t>Recepcionista</t>
        </is>
      </c>
      <c r="C9" s="28" t="inlineStr">
        <is>
          <t>Término de experiência</t>
        </is>
      </c>
      <c r="D9" s="29" t="n">
        <v>46295</v>
      </c>
      <c r="E9" s="30" t="inlineStr">
        <is>
          <t>Não se aplica</t>
        </is>
      </c>
      <c r="F9" s="29">
        <f>IF(OR($A9="",$D9=""),"",$D9+10)</f>
        <v/>
      </c>
      <c r="G9" s="32">
        <f>IF($F9="","",$F9-TODAY())</f>
        <v/>
      </c>
      <c r="H9" s="30" t="inlineStr">
        <is>
          <t>OK</t>
        </is>
      </c>
      <c r="I9" s="30" t="inlineStr">
        <is>
          <t>OK</t>
        </is>
      </c>
      <c r="J9" s="30" t="inlineStr">
        <is>
          <t>OK</t>
        </is>
      </c>
      <c r="K9" s="30" t="inlineStr">
        <is>
          <t>OK</t>
        </is>
      </c>
      <c r="L9" s="30" t="inlineStr">
        <is>
          <t>OK</t>
        </is>
      </c>
      <c r="M9" s="30" t="inlineStr">
        <is>
          <t>OK</t>
        </is>
      </c>
      <c r="N9" s="30" t="inlineStr">
        <is>
          <t>OK</t>
        </is>
      </c>
      <c r="O9" s="30" t="inlineStr">
        <is>
          <t>OK</t>
        </is>
      </c>
      <c r="P9" s="30" t="inlineStr">
        <is>
          <t>OK</t>
        </is>
      </c>
      <c r="Q9" s="30" t="inlineStr">
        <is>
          <t>OK</t>
        </is>
      </c>
      <c r="R9" s="31">
        <f>IF($A9="","",IFERROR(COUNTIF($H9:$Q9,"OK")/(10-COUNTIF($H9:$Q9,"N/A")),0))</f>
        <v/>
      </c>
      <c r="S9" s="28">
        <f>IF($A9="","",IF($R9=1,"Concluído",IF($L9&lt;&gt;"OK",IF($F9="","Informar data do término",IF($G9&lt;0,"Atrasado — verbas fora do prazo (art. 477, §6º)",IF($G9&lt;=5,"Atenção: pagamento vence "&amp;IF($G9=0,"hoje",IF($G9=1,"amanhã","em "&amp;$G9&amp;" dias")),"Em andamento"))),"Atenção: pendências após o pagamento")))</f>
        <v/>
      </c>
      <c r="T9" s="28" t="inlineStr">
        <is>
          <t>Processo encerrado</t>
        </is>
      </c>
    </row>
    <row r="10" ht="18" customHeight="1">
      <c r="A10" s="28" t="inlineStr">
        <is>
          <t>Felipe Gonçalves Moura</t>
        </is>
      </c>
      <c r="B10" s="28" t="inlineStr">
        <is>
          <t>Operador de produção</t>
        </is>
      </c>
      <c r="C10" s="28" t="inlineStr">
        <is>
          <t>Acordo — art. 484-A</t>
        </is>
      </c>
      <c r="D10" s="29" t="n">
        <v>46316</v>
      </c>
      <c r="E10" s="30" t="inlineStr">
        <is>
          <t>Indenizado</t>
        </is>
      </c>
      <c r="F10" s="29">
        <f>IF(OR($A10="",$D10=""),"",$D10+10)</f>
        <v/>
      </c>
      <c r="G10" s="32">
        <f>IF($F10="","",$F10-TODAY())</f>
        <v/>
      </c>
      <c r="H10" s="30" t="inlineStr">
        <is>
          <t>OK</t>
        </is>
      </c>
      <c r="I10" s="30" t="inlineStr">
        <is>
          <t>Pendente</t>
        </is>
      </c>
      <c r="J10" s="30" t="inlineStr">
        <is>
          <t>Pendente</t>
        </is>
      </c>
      <c r="K10" s="30" t="inlineStr">
        <is>
          <t>Pendente</t>
        </is>
      </c>
      <c r="L10" s="30" t="inlineStr">
        <is>
          <t>Pendente</t>
        </is>
      </c>
      <c r="M10" s="30" t="inlineStr">
        <is>
          <t>Pendente</t>
        </is>
      </c>
      <c r="N10" s="30" t="inlineStr">
        <is>
          <t>Pendente</t>
        </is>
      </c>
      <c r="O10" s="30" t="inlineStr">
        <is>
          <t>OK</t>
        </is>
      </c>
      <c r="P10" s="30" t="inlineStr">
        <is>
          <t>Pendente</t>
        </is>
      </c>
      <c r="Q10" s="30" t="inlineStr">
        <is>
          <t>Pendente</t>
        </is>
      </c>
      <c r="R10" s="31">
        <f>IF($A10="","",IFERROR(COUNTIF($H10:$Q10,"OK")/(10-COUNTIF($H10:$Q10,"N/A")),0))</f>
        <v/>
      </c>
      <c r="S10" s="28">
        <f>IF($A10="","",IF($R10=1,"Concluído",IF($L10&lt;&gt;"OK",IF($F10="","Informar data do término",IF($G10&lt;0,"Atrasado — verbas fora do prazo (art. 477, §6º)",IF($G10&lt;=5,"Atenção: pagamento vence "&amp;IF($G10=0,"hoje",IF($G10=1,"amanhã","em "&amp;$G10&amp;" dias")),"Em andamento"))),"Atenção: pendências após o pagamento")))</f>
        <v/>
      </c>
      <c r="T10" s="28" t="inlineStr">
        <is>
          <t>Aviso indenizado e multa do FGTS pela metade; saque de até 80% do FGTS</t>
        </is>
      </c>
    </row>
    <row r="11" ht="18" customHeight="1">
      <c r="A11" s="28" t="inlineStr">
        <is>
          <t>Renata Vieira Cunha</t>
        </is>
      </c>
      <c r="B11" s="28" t="inlineStr">
        <is>
          <t>Auxiliar de limpeza</t>
        </is>
      </c>
      <c r="C11" s="28" t="inlineStr">
        <is>
          <t>Justa causa</t>
        </is>
      </c>
      <c r="D11" s="29" t="n">
        <v>46315</v>
      </c>
      <c r="E11" s="30" t="inlineStr">
        <is>
          <t>Não se aplica</t>
        </is>
      </c>
      <c r="F11" s="29">
        <f>IF(OR($A11="",$D11=""),"",$D11+10)</f>
        <v/>
      </c>
      <c r="G11" s="32">
        <f>IF($F11="","",$F11-TODAY())</f>
        <v/>
      </c>
      <c r="H11" s="30" t="inlineStr">
        <is>
          <t>OK</t>
        </is>
      </c>
      <c r="I11" s="30" t="inlineStr">
        <is>
          <t>Pendente</t>
        </is>
      </c>
      <c r="J11" s="30" t="inlineStr">
        <is>
          <t>OK</t>
        </is>
      </c>
      <c r="K11" s="30" t="inlineStr">
        <is>
          <t>Pendente</t>
        </is>
      </c>
      <c r="L11" s="30" t="inlineStr">
        <is>
          <t>Pendente</t>
        </is>
      </c>
      <c r="M11" s="30" t="inlineStr">
        <is>
          <t>N/A</t>
        </is>
      </c>
      <c r="N11" s="30" t="inlineStr">
        <is>
          <t>Pendente</t>
        </is>
      </c>
      <c r="O11" s="30" t="inlineStr">
        <is>
          <t>Pendente</t>
        </is>
      </c>
      <c r="P11" s="30" t="inlineStr">
        <is>
          <t>Pendente</t>
        </is>
      </c>
      <c r="Q11" s="30" t="inlineStr">
        <is>
          <t>N/A</t>
        </is>
      </c>
      <c r="R11" s="31">
        <f>IF($A11="","",IFERROR(COUNTIF($H11:$Q11,"OK")/(10-COUNTIF($H11:$Q11,"N/A")),0))</f>
        <v/>
      </c>
      <c r="S11" s="28">
        <f>IF($A11="","",IF($R11=1,"Concluído",IF($L11&lt;&gt;"OK",IF($F11="","Informar data do término",IF($G11&lt;0,"Atrasado — verbas fora do prazo (art. 477, §6º)",IF($G11&lt;=5,"Atenção: pagamento vence "&amp;IF($G11=0,"hoje",IF($G11=1,"amanhã","em "&amp;$G11&amp;" dias")),"Em andamento"))),"Atenção: pendências após o pagamento")))</f>
        <v/>
      </c>
      <c r="T11" s="28" t="inlineStr">
        <is>
          <t>Documentar o motivo (art. 482) e a comunicação por escrito</t>
        </is>
      </c>
    </row>
    <row r="12" ht="18" customHeight="1">
      <c r="A12" s="28" t="n"/>
      <c r="B12" s="28" t="n"/>
      <c r="C12" s="28" t="n"/>
      <c r="D12" s="29" t="n"/>
      <c r="E12" s="30" t="n"/>
      <c r="F12" s="29">
        <f>IF(OR($A12="",$D12=""),"",$D12+10)</f>
        <v/>
      </c>
      <c r="G12" s="32">
        <f>IF($F12="","",$F12-TODAY())</f>
        <v/>
      </c>
      <c r="H12" s="30" t="n"/>
      <c r="I12" s="30" t="n"/>
      <c r="J12" s="30" t="n"/>
      <c r="K12" s="30" t="n"/>
      <c r="L12" s="30" t="n"/>
      <c r="M12" s="30" t="n"/>
      <c r="N12" s="30" t="n"/>
      <c r="O12" s="30" t="n"/>
      <c r="P12" s="30" t="n"/>
      <c r="Q12" s="30" t="n"/>
      <c r="R12" s="31">
        <f>IF($A12="","",IFERROR(COUNTIF($H12:$Q12,"OK")/(10-COUNTIF($H12:$Q12,"N/A")),0))</f>
        <v/>
      </c>
      <c r="S12" s="28">
        <f>IF($A12="","",IF($R12=1,"Concluído",IF($L12&lt;&gt;"OK",IF($F12="","Informar data do término",IF($G12&lt;0,"Atrasado — verbas fora do prazo (art. 477, §6º)",IF($G12&lt;=5,"Atenção: pagamento vence "&amp;IF($G12=0,"hoje",IF($G12=1,"amanhã","em "&amp;$G12&amp;" dias")),"Em andamento"))),"Atenção: pendências após o pagamento")))</f>
        <v/>
      </c>
      <c r="T12" s="28" t="n"/>
    </row>
    <row r="13" ht="18" customHeight="1">
      <c r="A13" s="28" t="n"/>
      <c r="B13" s="28" t="n"/>
      <c r="C13" s="28" t="n"/>
      <c r="D13" s="29" t="n"/>
      <c r="E13" s="30" t="n"/>
      <c r="F13" s="29">
        <f>IF(OR($A13="",$D13=""),"",$D13+10)</f>
        <v/>
      </c>
      <c r="G13" s="32">
        <f>IF($F13="","",$F13-TODAY())</f>
        <v/>
      </c>
      <c r="H13" s="30" t="n"/>
      <c r="I13" s="30" t="n"/>
      <c r="J13" s="30" t="n"/>
      <c r="K13" s="30" t="n"/>
      <c r="L13" s="30" t="n"/>
      <c r="M13" s="30" t="n"/>
      <c r="N13" s="30" t="n"/>
      <c r="O13" s="30" t="n"/>
      <c r="P13" s="30" t="n"/>
      <c r="Q13" s="30" t="n"/>
      <c r="R13" s="31">
        <f>IF($A13="","",IFERROR(COUNTIF($H13:$Q13,"OK")/(10-COUNTIF($H13:$Q13,"N/A")),0))</f>
        <v/>
      </c>
      <c r="S13" s="28">
        <f>IF($A13="","",IF($R13=1,"Concluído",IF($L13&lt;&gt;"OK",IF($F13="","Informar data do término",IF($G13&lt;0,"Atrasado — verbas fora do prazo (art. 477, §6º)",IF($G13&lt;=5,"Atenção: pagamento vence "&amp;IF($G13=0,"hoje",IF($G13=1,"amanhã","em "&amp;$G13&amp;" dias")),"Em andamento"))),"Atenção: pendências após o pagamento")))</f>
        <v/>
      </c>
      <c r="T13" s="28" t="n"/>
    </row>
    <row r="14" ht="18" customHeight="1">
      <c r="A14" s="28" t="n"/>
      <c r="B14" s="28" t="n"/>
      <c r="C14" s="28" t="n"/>
      <c r="D14" s="29" t="n"/>
      <c r="E14" s="30" t="n"/>
      <c r="F14" s="29">
        <f>IF(OR($A14="",$D14=""),"",$D14+10)</f>
        <v/>
      </c>
      <c r="G14" s="32">
        <f>IF($F14="","",$F14-TODAY())</f>
        <v/>
      </c>
      <c r="H14" s="30" t="n"/>
      <c r="I14" s="30" t="n"/>
      <c r="J14" s="30" t="n"/>
      <c r="K14" s="30" t="n"/>
      <c r="L14" s="30" t="n"/>
      <c r="M14" s="30" t="n"/>
      <c r="N14" s="30" t="n"/>
      <c r="O14" s="30" t="n"/>
      <c r="P14" s="30" t="n"/>
      <c r="Q14" s="30" t="n"/>
      <c r="R14" s="31">
        <f>IF($A14="","",IFERROR(COUNTIF($H14:$Q14,"OK")/(10-COUNTIF($H14:$Q14,"N/A")),0))</f>
        <v/>
      </c>
      <c r="S14" s="28">
        <f>IF($A14="","",IF($R14=1,"Concluído",IF($L14&lt;&gt;"OK",IF($F14="","Informar data do término",IF($G14&lt;0,"Atrasado — verbas fora do prazo (art. 477, §6º)",IF($G14&lt;=5,"Atenção: pagamento vence "&amp;IF($G14=0,"hoje",IF($G14=1,"amanhã","em "&amp;$G14&amp;" dias")),"Em andamento"))),"Atenção: pendências após o pagamento")))</f>
        <v/>
      </c>
      <c r="T14" s="28" t="n"/>
    </row>
    <row r="15" ht="18" customHeight="1">
      <c r="A15" s="28" t="n"/>
      <c r="B15" s="28" t="n"/>
      <c r="C15" s="28" t="n"/>
      <c r="D15" s="29" t="n"/>
      <c r="E15" s="30" t="n"/>
      <c r="F15" s="29">
        <f>IF(OR($A15="",$D15=""),"",$D15+10)</f>
        <v/>
      </c>
      <c r="G15" s="32">
        <f>IF($F15="","",$F15-TODAY())</f>
        <v/>
      </c>
      <c r="H15" s="30" t="n"/>
      <c r="I15" s="30" t="n"/>
      <c r="J15" s="30" t="n"/>
      <c r="K15" s="30" t="n"/>
      <c r="L15" s="30" t="n"/>
      <c r="M15" s="30" t="n"/>
      <c r="N15" s="30" t="n"/>
      <c r="O15" s="30" t="n"/>
      <c r="P15" s="30" t="n"/>
      <c r="Q15" s="30" t="n"/>
      <c r="R15" s="31">
        <f>IF($A15="","",IFERROR(COUNTIF($H15:$Q15,"OK")/(10-COUNTIF($H15:$Q15,"N/A")),0))</f>
        <v/>
      </c>
      <c r="S15" s="28">
        <f>IF($A15="","",IF($R15=1,"Concluído",IF($L15&lt;&gt;"OK",IF($F15="","Informar data do término",IF($G15&lt;0,"Atrasado — verbas fora do prazo (art. 477, §6º)",IF($G15&lt;=5,"Atenção: pagamento vence "&amp;IF($G15=0,"hoje",IF($G15=1,"amanhã","em "&amp;$G15&amp;" dias")),"Em andamento"))),"Atenção: pendências após o pagamento")))</f>
        <v/>
      </c>
      <c r="T15" s="28" t="n"/>
    </row>
    <row r="16" ht="18" customHeight="1">
      <c r="A16" s="28" t="n"/>
      <c r="B16" s="28" t="n"/>
      <c r="C16" s="28" t="n"/>
      <c r="D16" s="29" t="n"/>
      <c r="E16" s="30" t="n"/>
      <c r="F16" s="29">
        <f>IF(OR($A16="",$D16=""),"",$D16+10)</f>
        <v/>
      </c>
      <c r="G16" s="32">
        <f>IF($F16="","",$F16-TODAY())</f>
        <v/>
      </c>
      <c r="H16" s="30" t="n"/>
      <c r="I16" s="30" t="n"/>
      <c r="J16" s="30" t="n"/>
      <c r="K16" s="30" t="n"/>
      <c r="L16" s="30" t="n"/>
      <c r="M16" s="30" t="n"/>
      <c r="N16" s="30" t="n"/>
      <c r="O16" s="30" t="n"/>
      <c r="P16" s="30" t="n"/>
      <c r="Q16" s="30" t="n"/>
      <c r="R16" s="31">
        <f>IF($A16="","",IFERROR(COUNTIF($H16:$Q16,"OK")/(10-COUNTIF($H16:$Q16,"N/A")),0))</f>
        <v/>
      </c>
      <c r="S16" s="28">
        <f>IF($A16="","",IF($R16=1,"Concluído",IF($L16&lt;&gt;"OK",IF($F16="","Informar data do término",IF($G16&lt;0,"Atrasado — verbas fora do prazo (art. 477, §6º)",IF($G16&lt;=5,"Atenção: pagamento vence "&amp;IF($G16=0,"hoje",IF($G16=1,"amanhã","em "&amp;$G16&amp;" dias")),"Em andamento"))),"Atenção: pendências após o pagamento")))</f>
        <v/>
      </c>
      <c r="T16" s="28" t="n"/>
    </row>
    <row r="17" ht="18" customHeight="1">
      <c r="A17" s="28" t="n"/>
      <c r="B17" s="28" t="n"/>
      <c r="C17" s="28" t="n"/>
      <c r="D17" s="29" t="n"/>
      <c r="E17" s="30" t="n"/>
      <c r="F17" s="29">
        <f>IF(OR($A17="",$D17=""),"",$D17+10)</f>
        <v/>
      </c>
      <c r="G17" s="32">
        <f>IF($F17="","",$F17-TODAY())</f>
        <v/>
      </c>
      <c r="H17" s="30" t="n"/>
      <c r="I17" s="30" t="n"/>
      <c r="J17" s="30" t="n"/>
      <c r="K17" s="30" t="n"/>
      <c r="L17" s="30" t="n"/>
      <c r="M17" s="30" t="n"/>
      <c r="N17" s="30" t="n"/>
      <c r="O17" s="30" t="n"/>
      <c r="P17" s="30" t="n"/>
      <c r="Q17" s="30" t="n"/>
      <c r="R17" s="31">
        <f>IF($A17="","",IFERROR(COUNTIF($H17:$Q17,"OK")/(10-COUNTIF($H17:$Q17,"N/A")),0))</f>
        <v/>
      </c>
      <c r="S17" s="28">
        <f>IF($A17="","",IF($R17=1,"Concluído",IF($L17&lt;&gt;"OK",IF($F17="","Informar data do término",IF($G17&lt;0,"Atrasado — verbas fora do prazo (art. 477, §6º)",IF($G17&lt;=5,"Atenção: pagamento vence "&amp;IF($G17=0,"hoje",IF($G17=1,"amanhã","em "&amp;$G17&amp;" dias")),"Em andamento"))),"Atenção: pendências após o pagamento")))</f>
        <v/>
      </c>
      <c r="T17" s="28" t="n"/>
    </row>
    <row r="18" ht="18" customHeight="1">
      <c r="A18" s="28" t="n"/>
      <c r="B18" s="28" t="n"/>
      <c r="C18" s="28" t="n"/>
      <c r="D18" s="29" t="n"/>
      <c r="E18" s="30" t="n"/>
      <c r="F18" s="29">
        <f>IF(OR($A18="",$D18=""),"",$D18+10)</f>
        <v/>
      </c>
      <c r="G18" s="32">
        <f>IF($F18="","",$F18-TODAY())</f>
        <v/>
      </c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0" t="n"/>
      <c r="R18" s="31">
        <f>IF($A18="","",IFERROR(COUNTIF($H18:$Q18,"OK")/(10-COUNTIF($H18:$Q18,"N/A")),0))</f>
        <v/>
      </c>
      <c r="S18" s="28">
        <f>IF($A18="","",IF($R18=1,"Concluído",IF($L18&lt;&gt;"OK",IF($F18="","Informar data do término",IF($G18&lt;0,"Atrasado — verbas fora do prazo (art. 477, §6º)",IF($G18&lt;=5,"Atenção: pagamento vence "&amp;IF($G18=0,"hoje",IF($G18=1,"amanhã","em "&amp;$G18&amp;" dias")),"Em andamento"))),"Atenção: pendências após o pagamento")))</f>
        <v/>
      </c>
      <c r="T18" s="28" t="n"/>
    </row>
    <row r="19" ht="18" customHeight="1">
      <c r="A19" s="28" t="n"/>
      <c r="B19" s="28" t="n"/>
      <c r="C19" s="28" t="n"/>
      <c r="D19" s="29" t="n"/>
      <c r="E19" s="30" t="n"/>
      <c r="F19" s="29">
        <f>IF(OR($A19="",$D19=""),"",$D19+10)</f>
        <v/>
      </c>
      <c r="G19" s="32">
        <f>IF($F19="","",$F19-TODAY())</f>
        <v/>
      </c>
      <c r="H19" s="30" t="n"/>
      <c r="I19" s="30" t="n"/>
      <c r="J19" s="30" t="n"/>
      <c r="K19" s="30" t="n"/>
      <c r="L19" s="30" t="n"/>
      <c r="M19" s="30" t="n"/>
      <c r="N19" s="30" t="n"/>
      <c r="O19" s="30" t="n"/>
      <c r="P19" s="30" t="n"/>
      <c r="Q19" s="30" t="n"/>
      <c r="R19" s="31">
        <f>IF($A19="","",IFERROR(COUNTIF($H19:$Q19,"OK")/(10-COUNTIF($H19:$Q19,"N/A")),0))</f>
        <v/>
      </c>
      <c r="S19" s="28">
        <f>IF($A19="","",IF($R19=1,"Concluído",IF($L19&lt;&gt;"OK",IF($F19="","Informar data do término",IF($G19&lt;0,"Atrasado — verbas fora do prazo (art. 477, §6º)",IF($G19&lt;=5,"Atenção: pagamento vence "&amp;IF($G19=0,"hoje",IF($G19=1,"amanhã","em "&amp;$G19&amp;" dias")),"Em andamento"))),"Atenção: pendências após o pagamento")))</f>
        <v/>
      </c>
      <c r="T19" s="28" t="n"/>
    </row>
    <row r="20" ht="18" customHeight="1">
      <c r="A20" s="28" t="n"/>
      <c r="B20" s="28" t="n"/>
      <c r="C20" s="28" t="n"/>
      <c r="D20" s="29" t="n"/>
      <c r="E20" s="30" t="n"/>
      <c r="F20" s="29">
        <f>IF(OR($A20="",$D20=""),"",$D20+10)</f>
        <v/>
      </c>
      <c r="G20" s="32">
        <f>IF($F20="","",$F20-TODAY())</f>
        <v/>
      </c>
      <c r="H20" s="30" t="n"/>
      <c r="I20" s="30" t="n"/>
      <c r="J20" s="30" t="n"/>
      <c r="K20" s="30" t="n"/>
      <c r="L20" s="30" t="n"/>
      <c r="M20" s="30" t="n"/>
      <c r="N20" s="30" t="n"/>
      <c r="O20" s="30" t="n"/>
      <c r="P20" s="30" t="n"/>
      <c r="Q20" s="30" t="n"/>
      <c r="R20" s="31">
        <f>IF($A20="","",IFERROR(COUNTIF($H20:$Q20,"OK")/(10-COUNTIF($H20:$Q20,"N/A")),0))</f>
        <v/>
      </c>
      <c r="S20" s="28">
        <f>IF($A20="","",IF($R20=1,"Concluído",IF($L20&lt;&gt;"OK",IF($F20="","Informar data do término",IF($G20&lt;0,"Atrasado — verbas fora do prazo (art. 477, §6º)",IF($G20&lt;=5,"Atenção: pagamento vence "&amp;IF($G20=0,"hoje",IF($G20=1,"amanhã","em "&amp;$G20&amp;" dias")),"Em andamento"))),"Atenção: pendências após o pagamento")))</f>
        <v/>
      </c>
      <c r="T20" s="28" t="n"/>
    </row>
    <row r="21" ht="18" customHeight="1">
      <c r="A21" s="28" t="n"/>
      <c r="B21" s="28" t="n"/>
      <c r="C21" s="28" t="n"/>
      <c r="D21" s="29" t="n"/>
      <c r="E21" s="30" t="n"/>
      <c r="F21" s="29">
        <f>IF(OR($A21="",$D21=""),"",$D21+10)</f>
        <v/>
      </c>
      <c r="G21" s="32">
        <f>IF($F21="","",$F21-TODAY())</f>
        <v/>
      </c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1">
        <f>IF($A21="","",IFERROR(COUNTIF($H21:$Q21,"OK")/(10-COUNTIF($H21:$Q21,"N/A")),0))</f>
        <v/>
      </c>
      <c r="S21" s="28">
        <f>IF($A21="","",IF($R21=1,"Concluído",IF($L21&lt;&gt;"OK",IF($F21="","Informar data do término",IF($G21&lt;0,"Atrasado — verbas fora do prazo (art. 477, §6º)",IF($G21&lt;=5,"Atenção: pagamento vence "&amp;IF($G21=0,"hoje",IF($G21=1,"amanhã","em "&amp;$G21&amp;" dias")),"Em andamento"))),"Atenção: pendências após o pagamento")))</f>
        <v/>
      </c>
      <c r="T21" s="28" t="n"/>
    </row>
    <row r="22" ht="18" customHeight="1">
      <c r="A22" s="28" t="n"/>
      <c r="B22" s="28" t="n"/>
      <c r="C22" s="28" t="n"/>
      <c r="D22" s="29" t="n"/>
      <c r="E22" s="30" t="n"/>
      <c r="F22" s="29">
        <f>IF(OR($A22="",$D22=""),"",$D22+10)</f>
        <v/>
      </c>
      <c r="G22" s="32">
        <f>IF($F22="","",$F22-TODAY())</f>
        <v/>
      </c>
      <c r="H22" s="30" t="n"/>
      <c r="I22" s="30" t="n"/>
      <c r="J22" s="30" t="n"/>
      <c r="K22" s="30" t="n"/>
      <c r="L22" s="30" t="n"/>
      <c r="M22" s="30" t="n"/>
      <c r="N22" s="30" t="n"/>
      <c r="O22" s="30" t="n"/>
      <c r="P22" s="30" t="n"/>
      <c r="Q22" s="30" t="n"/>
      <c r="R22" s="31">
        <f>IF($A22="","",IFERROR(COUNTIF($H22:$Q22,"OK")/(10-COUNTIF($H22:$Q22,"N/A")),0))</f>
        <v/>
      </c>
      <c r="S22" s="28">
        <f>IF($A22="","",IF($R22=1,"Concluído",IF($L22&lt;&gt;"OK",IF($F22="","Informar data do término",IF($G22&lt;0,"Atrasado — verbas fora do prazo (art. 477, §6º)",IF($G22&lt;=5,"Atenção: pagamento vence "&amp;IF($G22=0,"hoje",IF($G22=1,"amanhã","em "&amp;$G22&amp;" dias")),"Em andamento"))),"Atenção: pendências após o pagamento")))</f>
        <v/>
      </c>
      <c r="T22" s="28" t="n"/>
    </row>
    <row r="23" ht="18" customHeight="1">
      <c r="A23" s="28" t="n"/>
      <c r="B23" s="28" t="n"/>
      <c r="C23" s="28" t="n"/>
      <c r="D23" s="29" t="n"/>
      <c r="E23" s="30" t="n"/>
      <c r="F23" s="29">
        <f>IF(OR($A23="",$D23=""),"",$D23+10)</f>
        <v/>
      </c>
      <c r="G23" s="32">
        <f>IF($F23="","",$F23-TODAY())</f>
        <v/>
      </c>
      <c r="H23" s="30" t="n"/>
      <c r="I23" s="30" t="n"/>
      <c r="J23" s="30" t="n"/>
      <c r="K23" s="30" t="n"/>
      <c r="L23" s="30" t="n"/>
      <c r="M23" s="30" t="n"/>
      <c r="N23" s="30" t="n"/>
      <c r="O23" s="30" t="n"/>
      <c r="P23" s="30" t="n"/>
      <c r="Q23" s="30" t="n"/>
      <c r="R23" s="31">
        <f>IF($A23="","",IFERROR(COUNTIF($H23:$Q23,"OK")/(10-COUNTIF($H23:$Q23,"N/A")),0))</f>
        <v/>
      </c>
      <c r="S23" s="28">
        <f>IF($A23="","",IF($R23=1,"Concluído",IF($L23&lt;&gt;"OK",IF($F23="","Informar data do término",IF($G23&lt;0,"Atrasado — verbas fora do prazo (art. 477, §6º)",IF($G23&lt;=5,"Atenção: pagamento vence "&amp;IF($G23=0,"hoje",IF($G23=1,"amanhã","em "&amp;$G23&amp;" dias")),"Em andamento"))),"Atenção: pendências após o pagamento")))</f>
        <v/>
      </c>
      <c r="T23" s="28" t="n"/>
    </row>
    <row r="24" ht="18" customHeight="1">
      <c r="A24" s="28" t="n"/>
      <c r="B24" s="28" t="n"/>
      <c r="C24" s="28" t="n"/>
      <c r="D24" s="29" t="n"/>
      <c r="E24" s="30" t="n"/>
      <c r="F24" s="29">
        <f>IF(OR($A24="",$D24=""),"",$D24+10)</f>
        <v/>
      </c>
      <c r="G24" s="32">
        <f>IF($F24="","",$F24-TODAY())</f>
        <v/>
      </c>
      <c r="H24" s="30" t="n"/>
      <c r="I24" s="30" t="n"/>
      <c r="J24" s="30" t="n"/>
      <c r="K24" s="30" t="n"/>
      <c r="L24" s="30" t="n"/>
      <c r="M24" s="30" t="n"/>
      <c r="N24" s="30" t="n"/>
      <c r="O24" s="30" t="n"/>
      <c r="P24" s="30" t="n"/>
      <c r="Q24" s="30" t="n"/>
      <c r="R24" s="31">
        <f>IF($A24="","",IFERROR(COUNTIF($H24:$Q24,"OK")/(10-COUNTIF($H24:$Q24,"N/A")),0))</f>
        <v/>
      </c>
      <c r="S24" s="28">
        <f>IF($A24="","",IF($R24=1,"Concluído",IF($L24&lt;&gt;"OK",IF($F24="","Informar data do término",IF($G24&lt;0,"Atrasado — verbas fora do prazo (art. 477, §6º)",IF($G24&lt;=5,"Atenção: pagamento vence "&amp;IF($G24=0,"hoje",IF($G24=1,"amanhã","em "&amp;$G24&amp;" dias")),"Em andamento"))),"Atenção: pendências após o pagamento")))</f>
        <v/>
      </c>
      <c r="T24" s="28" t="n"/>
    </row>
    <row r="25" ht="18" customHeight="1">
      <c r="A25" s="28" t="n"/>
      <c r="B25" s="28" t="n"/>
      <c r="C25" s="28" t="n"/>
      <c r="D25" s="29" t="n"/>
      <c r="E25" s="30" t="n"/>
      <c r="F25" s="29">
        <f>IF(OR($A25="",$D25=""),"",$D25+10)</f>
        <v/>
      </c>
      <c r="G25" s="32">
        <f>IF($F25="","",$F25-TODAY())</f>
        <v/>
      </c>
      <c r="H25" s="30" t="n"/>
      <c r="I25" s="30" t="n"/>
      <c r="J25" s="30" t="n"/>
      <c r="K25" s="30" t="n"/>
      <c r="L25" s="30" t="n"/>
      <c r="M25" s="30" t="n"/>
      <c r="N25" s="30" t="n"/>
      <c r="O25" s="30" t="n"/>
      <c r="P25" s="30" t="n"/>
      <c r="Q25" s="30" t="n"/>
      <c r="R25" s="31">
        <f>IF($A25="","",IFERROR(COUNTIF($H25:$Q25,"OK")/(10-COUNTIF($H25:$Q25,"N/A")),0))</f>
        <v/>
      </c>
      <c r="S25" s="28">
        <f>IF($A25="","",IF($R25=1,"Concluído",IF($L25&lt;&gt;"OK",IF($F25="","Informar data do término",IF($G25&lt;0,"Atrasado — verbas fora do prazo (art. 477, §6º)",IF($G25&lt;=5,"Atenção: pagamento vence "&amp;IF($G25=0,"hoje",IF($G25=1,"amanhã","em "&amp;$G25&amp;" dias")),"Em andamento"))),"Atenção: pendências após o pagamento")))</f>
        <v/>
      </c>
      <c r="T25" s="28" t="n"/>
    </row>
    <row r="27" ht="20" customHeight="1">
      <c r="A27" s="33" t="inlineStr">
        <is>
          <t>Notas e referências legais</t>
        </is>
      </c>
    </row>
    <row r="28" ht="29" customHeight="1">
      <c r="A28" s="34" t="inlineStr">
        <is>
          <t>• Prazo: pagamento das verbas rescisórias e entrega dos documentos em até 10 dias contados do término do contrato (CLT, art. 477, §6º). O atraso gera a multa do art. 477, §8º (valor equivalente ao salário do empregado), além da multa administrativa.</t>
        </is>
      </c>
    </row>
    <row r="29" ht="16.5" customHeight="1">
      <c r="A29" s="34" t="inlineStr">
        <is>
          <t>• Homologação: deixou de ser obrigatória no sindicato com a Reforma Trabalhista (Lei 13.467/2017), salvo previsão em convenção coletiva.</t>
        </is>
      </c>
    </row>
    <row r="30" ht="29" customHeight="1">
      <c r="A30" s="34" t="inlineStr">
        <is>
          <t>• Exame demissional: em até 10 dias contados do término do contrato; pode ser dispensado se o último exame ocupacional foi realizado há menos de 135 dias (graus de risco 1 e 2) ou 90 dias (graus 3 e 4) (NR-7).</t>
        </is>
      </c>
    </row>
    <row r="31" ht="16.5" customHeight="1">
      <c r="A31" s="34" t="inlineStr">
        <is>
          <t>• Acordo (art. 484-A): aviso prévio indenizado e multa do FGTS pela metade, saque de até 80% do FGTS e sem acesso ao seguro-desemprego.</t>
        </is>
      </c>
    </row>
    <row r="32" ht="16.5" customHeight="1">
      <c r="A32" s="34" t="inlineStr">
        <is>
          <t>• Pedido de demissão e justa causa não dão direito ao saque do FGTS nem ao seguro-desemprego: marque o item de chaves/guias como N/A.</t>
        </is>
      </c>
    </row>
    <row r="33" ht="16.5" customHeight="1">
      <c r="A33" s="34" t="inlineStr">
        <is>
          <t>• % concluído = itens OK ÷ itens aplicáveis (N/A não entra na conta).</t>
        </is>
      </c>
    </row>
  </sheetData>
  <autoFilter ref="A5:T25"/>
  <mergeCells count="6">
    <mergeCell ref="A30:H30"/>
    <mergeCell ref="A29:H29"/>
    <mergeCell ref="A28:H28"/>
    <mergeCell ref="A33:H33"/>
    <mergeCell ref="A32:H32"/>
    <mergeCell ref="A31:H31"/>
  </mergeCells>
  <conditionalFormatting sqref="S6:S25">
    <cfRule type="expression" priority="1" dxfId="0">
      <formula>LEFT($S6,8)="Atrasado"</formula>
    </cfRule>
    <cfRule type="expression" priority="2" dxfId="1">
      <formula>OR(LEFT($S6,7)="Atenção",LEFT($S6,8)="Informar")</formula>
    </cfRule>
    <cfRule type="expression" priority="3" dxfId="2">
      <formula>$S6="Concluído"</formula>
    </cfRule>
  </conditionalFormatting>
  <conditionalFormatting sqref="G6:G25">
    <cfRule type="expression" priority="4" dxfId="0">
      <formula>AND(ISNUMBER($G6),$G6&lt;0,$L6&lt;&gt;"OK")</formula>
    </cfRule>
  </conditionalFormatting>
  <conditionalFormatting sqref="H6:Q25">
    <cfRule type="expression" priority="5" dxfId="3">
      <formula>H6="OK"</formula>
    </cfRule>
    <cfRule type="expression" priority="6" dxfId="4">
      <formula>H6="Pendente"</formula>
    </cfRule>
    <cfRule type="expression" priority="7" dxfId="5">
      <formula>H6="N/A"</formula>
    </cfRule>
  </conditionalFormatting>
  <conditionalFormatting sqref="R6:R25">
    <cfRule type="dataBar" priority="8">
      <dataBar showValue="1">
        <cfvo type="num" val="0"/>
        <cfvo type="num" val="1"/>
        <color rgb="003346B0"/>
      </dataBar>
    </cfRule>
  </conditionalFormatting>
  <conditionalFormatting sqref="A6:T25">
    <cfRule type="expression" priority="9" dxfId="6">
      <formula>MOD(ROW(),2)=0</formula>
    </cfRule>
  </conditionalFormatting>
  <dataValidations count="3">
    <dataValidation sqref="C6:C25" showDropDown="0" showInputMessage="0" showErrorMessage="1" allowBlank="1" errorTitle="Valor inválido" error="Escolha um valor da lista." type="list">
      <formula1>"Sem justa causa,Pedido de demissão,Justa causa,Acordo — art. 484-A,Término de experiência"</formula1>
    </dataValidation>
    <dataValidation sqref="E6:E25" showDropDown="0" showInputMessage="0" showErrorMessage="1" allowBlank="1" errorTitle="Valor inválido" error="Escolha um valor da lista." type="list">
      <formula1>"Trabalhado,Indenizado,Dispensado,Não se aplica"</formula1>
    </dataValidation>
    <dataValidation sqref="H6:Q25" showDropDown="0" showInputMessage="0" showErrorMessage="1" allowBlank="1" errorTitle="Valor inválido" error="Escolha um valor da lista." type="list">
      <formula1>"Pendente,OK,N/A"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P34"/>
  <sheetViews>
    <sheetView tabSelected="0" zoomScale="9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2" customWidth="1" min="3" max="3"/>
    <col width="12" customWidth="1" min="4" max="4"/>
    <col width="9" customWidth="1" min="5" max="5"/>
    <col width="16" customWidth="1" min="6" max="6"/>
    <col width="13" customWidth="1" min="7" max="7"/>
    <col width="12" customWidth="1" min="8" max="8"/>
    <col width="12" customWidth="1" min="9" max="9"/>
    <col width="12" customWidth="1" min="10" max="10"/>
    <col width="15" customWidth="1" min="11" max="11"/>
    <col width="11" customWidth="1" min="12" max="12"/>
    <col width="12" customWidth="1" min="13" max="13"/>
    <col width="23" customWidth="1" min="14" max="14"/>
    <col width="30" customWidth="1" min="15" max="15"/>
    <col width="58" customWidth="1" min="16" max="16"/>
  </cols>
  <sheetData>
    <row r="1" ht="28" customHeight="1">
      <c r="A1" s="21" t="inlineStr">
        <is>
          <t>Afastamentos e INSS — controle de prazos</t>
        </is>
      </c>
    </row>
    <row r="2" ht="16" customHeight="1">
      <c r="A2" s="2" t="inlineStr">
        <is>
          <t>Uma linha por afastamento. Dias pagos pela empresa, início do benefício, exame de retorno, estabilidade e próxima ação são calculados.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>
      <c r="A4" s="25" t="inlineStr">
        <is>
          <t>preencher</t>
        </is>
      </c>
      <c r="B4" s="25" t="inlineStr">
        <is>
          <t>preencher</t>
        </is>
      </c>
      <c r="C4" s="25" t="inlineStr">
        <is>
          <t>preencher</t>
        </is>
      </c>
      <c r="D4" s="25" t="inlineStr">
        <is>
          <t>preencher</t>
        </is>
      </c>
      <c r="E4" s="26" t="inlineStr">
        <is>
          <t>automático</t>
        </is>
      </c>
      <c r="F4" s="26" t="inlineStr">
        <is>
          <t>automático</t>
        </is>
      </c>
      <c r="G4" s="26" t="inlineStr">
        <is>
          <t>automático</t>
        </is>
      </c>
      <c r="H4" s="25" t="inlineStr">
        <is>
          <t>preencher</t>
        </is>
      </c>
      <c r="I4" s="26" t="inlineStr">
        <is>
          <t>automático</t>
        </is>
      </c>
      <c r="J4" s="26" t="inlineStr">
        <is>
          <t>automático</t>
        </is>
      </c>
      <c r="K4" s="26" t="inlineStr">
        <is>
          <t>automático</t>
        </is>
      </c>
      <c r="L4" s="25" t="inlineStr">
        <is>
          <t>preencher</t>
        </is>
      </c>
      <c r="M4" s="25" t="inlineStr">
        <is>
          <t>preencher</t>
        </is>
      </c>
      <c r="N4" s="26" t="inlineStr">
        <is>
          <t>automático</t>
        </is>
      </c>
      <c r="O4" s="26" t="inlineStr">
        <is>
          <t>automático</t>
        </is>
      </c>
      <c r="P4" s="25" t="inlineStr">
        <is>
          <t>preencher</t>
        </is>
      </c>
    </row>
    <row r="5" ht="70.5" customHeight="1">
      <c r="A5" s="27" t="inlineStr">
        <is>
          <t>Colaborador</t>
        </is>
      </c>
      <c r="B5" s="27" t="inlineStr">
        <is>
          <t>Motivo</t>
        </is>
      </c>
      <c r="C5" s="27" t="inlineStr">
        <is>
          <t>Início do afastamento</t>
        </is>
      </c>
      <c r="D5" s="27" t="inlineStr">
        <is>
          <t>Término previsto (último dia)</t>
        </is>
      </c>
      <c r="E5" s="27" t="inlineStr">
        <is>
          <t>Total de dias</t>
        </is>
      </c>
      <c r="F5" s="27" t="inlineStr">
        <is>
          <t>Dias pagos pela empresa</t>
        </is>
      </c>
      <c r="G5" s="27" t="inlineStr">
        <is>
          <t>Início do benefício INSS (16º dia)</t>
        </is>
      </c>
      <c r="H5" s="27" t="inlineStr">
        <is>
          <t>Data da perícia</t>
        </is>
      </c>
      <c r="I5" s="27" t="inlineStr">
        <is>
          <t>Retorno previsto</t>
        </is>
      </c>
      <c r="J5" s="27" t="inlineStr">
        <is>
          <t>Exige exame de retorno? (NR-7)</t>
        </is>
      </c>
      <c r="K5" s="27" t="inlineStr">
        <is>
          <t>Fim da estabilidade (acidente — art. 118, Lei 8.213/91)</t>
        </is>
      </c>
      <c r="L5" s="27" t="inlineStr">
        <is>
          <t>CAT emitida? (S-2210)</t>
        </is>
      </c>
      <c r="M5" s="27" t="inlineStr">
        <is>
          <t>eSocial S-2230 enviado?</t>
        </is>
      </c>
      <c r="N5" s="27" t="inlineStr">
        <is>
          <t>Status</t>
        </is>
      </c>
      <c r="O5" s="27" t="inlineStr">
        <is>
          <t>Próxima ação</t>
        </is>
      </c>
      <c r="P5" s="27" t="inlineStr">
        <is>
          <t>Observações</t>
        </is>
      </c>
    </row>
    <row r="6" ht="18" customHeight="1">
      <c r="A6" s="28" t="inlineStr">
        <is>
          <t>Rodrigo Teixeira Dias</t>
        </is>
      </c>
      <c r="B6" s="28" t="inlineStr">
        <is>
          <t>Doença</t>
        </is>
      </c>
      <c r="C6" s="29" t="n">
        <v>46188</v>
      </c>
      <c r="D6" s="29" t="n">
        <v>46243</v>
      </c>
      <c r="E6" s="32">
        <f>IF(OR($A6="",$C6="",$D6=""),"",$D6-$C6+1)</f>
        <v/>
      </c>
      <c r="F6" s="32">
        <f>IF($E6="","",IF(OR($B6="Doença",$B6="Acidente de trabalho"),MIN(15,$E6),IF($B6="Licença-maternidade","Ver nota abaixo","—")))</f>
        <v/>
      </c>
      <c r="G6" s="29">
        <f>IF($E6="","",IF(AND(OR($B6="Doença",$B6="Acidente de trabalho"),$E6&gt;15),$C6+15,"—"))</f>
        <v/>
      </c>
      <c r="H6" s="29" t="n">
        <v>46205</v>
      </c>
      <c r="I6" s="29">
        <f>IF(OR($A6="",$D6=""),"",$D6+1)</f>
        <v/>
      </c>
      <c r="J6" s="30">
        <f>IF($E6="","",IF(AND(OR($B6="Doença",$B6="Acidente de trabalho"),$E6&gt;=30),"Sim","Não"))</f>
        <v/>
      </c>
      <c r="K6" s="29">
        <f>IF(OR($E6="",$I6=""),"",IF(AND($B6="Acidente de trabalho",$E6&gt;15),EDATE($I6,12),"—"))</f>
        <v/>
      </c>
      <c r="L6" s="30" t="inlineStr">
        <is>
          <t>N/A</t>
        </is>
      </c>
      <c r="M6" s="30" t="inlineStr">
        <is>
          <t>OK</t>
        </is>
      </c>
      <c r="N6" s="28">
        <f>IF($I6="","",IF($I6&lt;=TODAY(),"Retornou",IF($I6-TODAY()&lt;=7,"Retorno em até 7 dias","Ativo")))</f>
        <v/>
      </c>
      <c r="O6" s="28">
        <f>IF($A6="","",IF(AND($B6="Acidente de trabalho",$L6&lt;&gt;"Sim"),"Emitir CAT (S-2210)",IF($M6="Pendente","Enviar S-2230",IF(AND($J6="Sim",$N6="Retorno em até 7 dias"),"Agendar ASO de retorno",IF(AND($H6&lt;&gt;"",$H6&gt;=TODAY()),"Acompanhar perícia agendada","—")))))</f>
        <v/>
      </c>
      <c r="P6" s="28" t="inlineStr">
        <is>
          <t>ASO de retorno realizado em 10/08</t>
        </is>
      </c>
    </row>
    <row r="7" ht="18" customHeight="1">
      <c r="A7" s="28" t="inlineStr">
        <is>
          <t>Sandra Mendes Correia</t>
        </is>
      </c>
      <c r="B7" s="28" t="inlineStr">
        <is>
          <t>Acidente de trabalho</t>
        </is>
      </c>
      <c r="C7" s="29" t="n">
        <v>46279</v>
      </c>
      <c r="D7" s="29" t="n">
        <v>46322</v>
      </c>
      <c r="E7" s="32">
        <f>IF(OR($A7="",$C7="",$D7=""),"",$D7-$C7+1)</f>
        <v/>
      </c>
      <c r="F7" s="32">
        <f>IF($E7="","",IF(OR($B7="Doença",$B7="Acidente de trabalho"),MIN(15,$E7),IF($B7="Licença-maternidade","Ver nota abaixo","—")))</f>
        <v/>
      </c>
      <c r="G7" s="29">
        <f>IF($E7="","",IF(AND(OR($B7="Doença",$B7="Acidente de trabalho"),$E7&gt;15),$C7+15,"—"))</f>
        <v/>
      </c>
      <c r="H7" s="29" t="n">
        <v>46301</v>
      </c>
      <c r="I7" s="29">
        <f>IF(OR($A7="",$D7=""),"",$D7+1)</f>
        <v/>
      </c>
      <c r="J7" s="30">
        <f>IF($E7="","",IF(AND(OR($B7="Doença",$B7="Acidente de trabalho"),$E7&gt;=30),"Sim","Não"))</f>
        <v/>
      </c>
      <c r="K7" s="29">
        <f>IF(OR($E7="",$I7=""),"",IF(AND($B7="Acidente de trabalho",$E7&gt;15),EDATE($I7,12),"—"))</f>
        <v/>
      </c>
      <c r="L7" s="30" t="inlineStr">
        <is>
          <t>Sim</t>
        </is>
      </c>
      <c r="M7" s="30" t="inlineStr">
        <is>
          <t>OK</t>
        </is>
      </c>
      <c r="N7" s="28">
        <f>IF($I7="","",IF($I7&lt;=TODAY(),"Retornou",IF($I7-TODAY()&lt;=7,"Retorno em até 7 dias","Ativo")))</f>
        <v/>
      </c>
      <c r="O7" s="28">
        <f>IF($A7="","",IF(AND($B7="Acidente de trabalho",$L7&lt;&gt;"Sim"),"Emitir CAT (S-2210)",IF($M7="Pendente","Enviar S-2230",IF(AND($J7="Sim",$N7="Retorno em até 7 dias"),"Agendar ASO de retorno",IF(AND($H7&lt;&gt;"",$H7&gt;=TODAY()),"Acompanhar perícia agendada","—")))))</f>
        <v/>
      </c>
      <c r="P7" s="28" t="inlineStr">
        <is>
          <t>CAT emitida em 15/09 (1º dia útil após o acidente)</t>
        </is>
      </c>
    </row>
    <row r="8" ht="18" customHeight="1">
      <c r="A8" s="28" t="inlineStr">
        <is>
          <t>Beatriz Nogueira Lima</t>
        </is>
      </c>
      <c r="B8" s="28" t="inlineStr">
        <is>
          <t>Licença-maternidade</t>
        </is>
      </c>
      <c r="C8" s="29" t="n">
        <v>46266</v>
      </c>
      <c r="D8" s="29" t="n">
        <v>46385</v>
      </c>
      <c r="E8" s="32">
        <f>IF(OR($A8="",$C8="",$D8=""),"",$D8-$C8+1)</f>
        <v/>
      </c>
      <c r="F8" s="32">
        <f>IF($E8="","",IF(OR($B8="Doença",$B8="Acidente de trabalho"),MIN(15,$E8),IF($B8="Licença-maternidade","Ver nota abaixo","—")))</f>
        <v/>
      </c>
      <c r="G8" s="29">
        <f>IF($E8="","",IF(AND(OR($B8="Doença",$B8="Acidente de trabalho"),$E8&gt;15),$C8+15,"—"))</f>
        <v/>
      </c>
      <c r="H8" s="29" t="n"/>
      <c r="I8" s="29">
        <f>IF(OR($A8="",$D8=""),"",$D8+1)</f>
        <v/>
      </c>
      <c r="J8" s="30">
        <f>IF($E8="","",IF(AND(OR($B8="Doença",$B8="Acidente de trabalho"),$E8&gt;=30),"Sim","Não"))</f>
        <v/>
      </c>
      <c r="K8" s="29">
        <f>IF(OR($E8="",$I8=""),"",IF(AND($B8="Acidente de trabalho",$E8&gt;15),EDATE($I8,12),"—"))</f>
        <v/>
      </c>
      <c r="L8" s="30" t="inlineStr">
        <is>
          <t>N/A</t>
        </is>
      </c>
      <c r="M8" s="30" t="inlineStr">
        <is>
          <t>OK</t>
        </is>
      </c>
      <c r="N8" s="28">
        <f>IF($I8="","",IF($I8&lt;=TODAY(),"Retornou",IF($I8-TODAY()&lt;=7,"Retorno em até 7 dias","Ativo")))</f>
        <v/>
      </c>
      <c r="O8" s="28">
        <f>IF($A8="","",IF(AND($B8="Acidente de trabalho",$L8&lt;&gt;"Sim"),"Emitir CAT (S-2210)",IF($M8="Pendente","Enviar S-2230",IF(AND($J8="Sim",$N8="Retorno em até 7 dias"),"Agendar ASO de retorno",IF(AND($H8&lt;&gt;"",$H8&gt;=TODAY()),"Acompanhar perícia agendada","—")))))</f>
        <v/>
      </c>
      <c r="P8" s="28" t="inlineStr">
        <is>
          <t>120 dias; estabilidade até 5 meses após o parto (ADCT, art. 10, II, b)</t>
        </is>
      </c>
    </row>
    <row r="9" ht="18" customHeight="1">
      <c r="A9" s="28" t="inlineStr">
        <is>
          <t>André Luiz Batista</t>
        </is>
      </c>
      <c r="B9" s="28" t="inlineStr">
        <is>
          <t>Doença</t>
        </is>
      </c>
      <c r="C9" s="29" t="n">
        <v>46314</v>
      </c>
      <c r="D9" s="29" t="n">
        <v>46318</v>
      </c>
      <c r="E9" s="32">
        <f>IF(OR($A9="",$C9="",$D9=""),"",$D9-$C9+1)</f>
        <v/>
      </c>
      <c r="F9" s="32">
        <f>IF($E9="","",IF(OR($B9="Doença",$B9="Acidente de trabalho"),MIN(15,$E9),IF($B9="Licença-maternidade","Ver nota abaixo","—")))</f>
        <v/>
      </c>
      <c r="G9" s="29">
        <f>IF($E9="","",IF(AND(OR($B9="Doença",$B9="Acidente de trabalho"),$E9&gt;15),$C9+15,"—"))</f>
        <v/>
      </c>
      <c r="H9" s="29" t="n"/>
      <c r="I9" s="29">
        <f>IF(OR($A9="",$D9=""),"",$D9+1)</f>
        <v/>
      </c>
      <c r="J9" s="30">
        <f>IF($E9="","",IF(AND(OR($B9="Doença",$B9="Acidente de trabalho"),$E9&gt;=30),"Sim","Não"))</f>
        <v/>
      </c>
      <c r="K9" s="29">
        <f>IF(OR($E9="",$I9=""),"",IF(AND($B9="Acidente de trabalho",$E9&gt;15),EDATE($I9,12),"—"))</f>
        <v/>
      </c>
      <c r="L9" s="30" t="inlineStr">
        <is>
          <t>N/A</t>
        </is>
      </c>
      <c r="M9" s="30" t="inlineStr">
        <is>
          <t>N/A</t>
        </is>
      </c>
      <c r="N9" s="28">
        <f>IF($I9="","",IF($I9&lt;=TODAY(),"Retornou",IF($I9-TODAY()&lt;=7,"Retorno em até 7 dias","Ativo")))</f>
        <v/>
      </c>
      <c r="O9" s="28">
        <f>IF($A9="","",IF(AND($B9="Acidente de trabalho",$L9&lt;&gt;"Sim"),"Emitir CAT (S-2210)",IF($M9="Pendente","Enviar S-2230",IF(AND($J9="Sim",$N9="Retorno em até 7 dias"),"Agendar ASO de retorno",IF(AND($H9&lt;&gt;"",$H9&gt;=TODAY()),"Acompanhar perícia agendada","—")))))</f>
        <v/>
      </c>
      <c r="P9" s="28" t="inlineStr">
        <is>
          <t>Atestado de 5 dias; observar novo atestado da mesma doença em 60 dias</t>
        </is>
      </c>
    </row>
    <row r="10" ht="18" customHeight="1">
      <c r="A10" s="28" t="inlineStr">
        <is>
          <t>Marcos Vinícius Rocha</t>
        </is>
      </c>
      <c r="B10" s="28" t="inlineStr">
        <is>
          <t>Acidente de trabalho</t>
        </is>
      </c>
      <c r="C10" s="29" t="n">
        <v>46297</v>
      </c>
      <c r="D10" s="29" t="n">
        <v>46356</v>
      </c>
      <c r="E10" s="32">
        <f>IF(OR($A10="",$C10="",$D10=""),"",$D10-$C10+1)</f>
        <v/>
      </c>
      <c r="F10" s="32">
        <f>IF($E10="","",IF(OR($B10="Doença",$B10="Acidente de trabalho"),MIN(15,$E10),IF($B10="Licença-maternidade","Ver nota abaixo","—")))</f>
        <v/>
      </c>
      <c r="G10" s="29">
        <f>IF($E10="","",IF(AND(OR($B10="Doença",$B10="Acidente de trabalho"),$E10&gt;15),$C10+15,"—"))</f>
        <v/>
      </c>
      <c r="H10" s="29" t="n">
        <v>46331</v>
      </c>
      <c r="I10" s="29">
        <f>IF(OR($A10="",$D10=""),"",$D10+1)</f>
        <v/>
      </c>
      <c r="J10" s="30">
        <f>IF($E10="","",IF(AND(OR($B10="Doença",$B10="Acidente de trabalho"),$E10&gt;=30),"Sim","Não"))</f>
        <v/>
      </c>
      <c r="K10" s="29">
        <f>IF(OR($E10="",$I10=""),"",IF(AND($B10="Acidente de trabalho",$E10&gt;15),EDATE($I10,12),"—"))</f>
        <v/>
      </c>
      <c r="L10" s="30" t="inlineStr">
        <is>
          <t>Sim</t>
        </is>
      </c>
      <c r="M10" s="30" t="inlineStr">
        <is>
          <t>Pendente</t>
        </is>
      </c>
      <c r="N10" s="28">
        <f>IF($I10="","",IF($I10&lt;=TODAY(),"Retornou",IF($I10-TODAY()&lt;=7,"Retorno em até 7 dias","Ativo")))</f>
        <v/>
      </c>
      <c r="O10" s="28">
        <f>IF($A10="","",IF(AND($B10="Acidente de trabalho",$L10&lt;&gt;"Sim"),"Emitir CAT (S-2210)",IF($M10="Pendente","Enviar S-2230",IF(AND($J10="Sim",$N10="Retorno em até 7 dias"),"Agendar ASO de retorno",IF(AND($H10&lt;&gt;"",$H10&gt;=TODAY()),"Acompanhar perícia agendada","—")))))</f>
        <v/>
      </c>
      <c r="P10" s="28" t="inlineStr">
        <is>
          <t>Afastamento acidentário superior a 15 dias</t>
        </is>
      </c>
    </row>
    <row r="11" ht="18" customHeight="1">
      <c r="A11" s="28" t="inlineStr">
        <is>
          <t>Paulo César Medeiros</t>
        </is>
      </c>
      <c r="B11" s="28" t="inlineStr">
        <is>
          <t>Doença</t>
        </is>
      </c>
      <c r="C11" s="29" t="n">
        <v>46300</v>
      </c>
      <c r="D11" s="29" t="n">
        <v>46336</v>
      </c>
      <c r="E11" s="32">
        <f>IF(OR($A11="",$C11="",$D11=""),"",$D11-$C11+1)</f>
        <v/>
      </c>
      <c r="F11" s="32">
        <f>IF($E11="","",IF(OR($B11="Doença",$B11="Acidente de trabalho"),MIN(15,$E11),IF($B11="Licença-maternidade","Ver nota abaixo","—")))</f>
        <v/>
      </c>
      <c r="G11" s="29">
        <f>IF($E11="","",IF(AND(OR($B11="Doença",$B11="Acidente de trabalho"),$E11&gt;15),$C11+15,"—"))</f>
        <v/>
      </c>
      <c r="H11" s="29" t="n">
        <v>46323</v>
      </c>
      <c r="I11" s="29">
        <f>IF(OR($A11="",$D11=""),"",$D11+1)</f>
        <v/>
      </c>
      <c r="J11" s="30">
        <f>IF($E11="","",IF(AND(OR($B11="Doença",$B11="Acidente de trabalho"),$E11&gt;=30),"Sim","Não"))</f>
        <v/>
      </c>
      <c r="K11" s="29">
        <f>IF(OR($E11="",$I11=""),"",IF(AND($B11="Acidente de trabalho",$E11&gt;15),EDATE($I11,12),"—"))</f>
        <v/>
      </c>
      <c r="L11" s="30" t="inlineStr">
        <is>
          <t>N/A</t>
        </is>
      </c>
      <c r="M11" s="30" t="inlineStr">
        <is>
          <t>OK</t>
        </is>
      </c>
      <c r="N11" s="28">
        <f>IF($I11="","",IF($I11&lt;=TODAY(),"Retornou",IF($I11-TODAY()&lt;=7,"Retorno em até 7 dias","Ativo")))</f>
        <v/>
      </c>
      <c r="O11" s="28">
        <f>IF($A11="","",IF(AND($B11="Acidente de trabalho",$L11&lt;&gt;"Sim"),"Emitir CAT (S-2210)",IF($M11="Pendente","Enviar S-2230",IF(AND($J11="Sim",$N11="Retorno em até 7 dias"),"Agendar ASO de retorno",IF(AND($H11&lt;&gt;"",$H11&gt;=TODAY()),"Acompanhar perícia agendada","—")))))</f>
        <v/>
      </c>
      <c r="P11" s="28" t="n"/>
    </row>
    <row r="12" ht="18" customHeight="1">
      <c r="A12" s="28" t="inlineStr">
        <is>
          <t>Jéssica Alves Pacheco</t>
        </is>
      </c>
      <c r="B12" s="28" t="inlineStr">
        <is>
          <t>Acidente de trabalho</t>
        </is>
      </c>
      <c r="C12" s="29" t="n">
        <v>46316</v>
      </c>
      <c r="D12" s="29" t="n">
        <v>46320</v>
      </c>
      <c r="E12" s="32">
        <f>IF(OR($A12="",$C12="",$D12=""),"",$D12-$C12+1)</f>
        <v/>
      </c>
      <c r="F12" s="32">
        <f>IF($E12="","",IF(OR($B12="Doença",$B12="Acidente de trabalho"),MIN(15,$E12),IF($B12="Licença-maternidade","Ver nota abaixo","—")))</f>
        <v/>
      </c>
      <c r="G12" s="29">
        <f>IF($E12="","",IF(AND(OR($B12="Doença",$B12="Acidente de trabalho"),$E12&gt;15),$C12+15,"—"))</f>
        <v/>
      </c>
      <c r="H12" s="29" t="n"/>
      <c r="I12" s="29">
        <f>IF(OR($A12="",$D12=""),"",$D12+1)</f>
        <v/>
      </c>
      <c r="J12" s="30">
        <f>IF($E12="","",IF(AND(OR($B12="Doença",$B12="Acidente de trabalho"),$E12&gt;=30),"Sim","Não"))</f>
        <v/>
      </c>
      <c r="K12" s="29">
        <f>IF(OR($E12="",$I12=""),"",IF(AND($B12="Acidente de trabalho",$E12&gt;15),EDATE($I12,12),"—"))</f>
        <v/>
      </c>
      <c r="L12" s="30" t="inlineStr">
        <is>
          <t>Não</t>
        </is>
      </c>
      <c r="M12" s="30" t="inlineStr">
        <is>
          <t>N/A</t>
        </is>
      </c>
      <c r="N12" s="28">
        <f>IF($I12="","",IF($I12&lt;=TODAY(),"Retornou",IF($I12-TODAY()&lt;=7,"Retorno em até 7 dias","Ativo")))</f>
        <v/>
      </c>
      <c r="O12" s="28">
        <f>IF($A12="","",IF(AND($B12="Acidente de trabalho",$L12&lt;&gt;"Sim"),"Emitir CAT (S-2210)",IF($M12="Pendente","Enviar S-2230",IF(AND($J12="Sim",$N12="Retorno em até 7 dias"),"Agendar ASO de retorno",IF(AND($H12&lt;&gt;"",$H12&gt;=TODAY()),"Acompanhar perícia agendada","—")))))</f>
        <v/>
      </c>
      <c r="P12" s="28" t="inlineStr">
        <is>
          <t>Acidente em 21/10: CAT até o 1º dia útil seguinte</t>
        </is>
      </c>
    </row>
    <row r="13" ht="18" customHeight="1">
      <c r="A13" s="28" t="n"/>
      <c r="B13" s="28" t="n"/>
      <c r="C13" s="29" t="n"/>
      <c r="D13" s="29" t="n"/>
      <c r="E13" s="32">
        <f>IF(OR($A13="",$C13="",$D13=""),"",$D13-$C13+1)</f>
        <v/>
      </c>
      <c r="F13" s="32">
        <f>IF($E13="","",IF(OR($B13="Doença",$B13="Acidente de trabalho"),MIN(15,$E13),IF($B13="Licença-maternidade","Ver nota abaixo","—")))</f>
        <v/>
      </c>
      <c r="G13" s="29">
        <f>IF($E13="","",IF(AND(OR($B13="Doença",$B13="Acidente de trabalho"),$E13&gt;15),$C13+15,"—"))</f>
        <v/>
      </c>
      <c r="H13" s="29" t="n"/>
      <c r="I13" s="29">
        <f>IF(OR($A13="",$D13=""),"",$D13+1)</f>
        <v/>
      </c>
      <c r="J13" s="30">
        <f>IF($E13="","",IF(AND(OR($B13="Doença",$B13="Acidente de trabalho"),$E13&gt;=30),"Sim","Não"))</f>
        <v/>
      </c>
      <c r="K13" s="29">
        <f>IF(OR($E13="",$I13=""),"",IF(AND($B13="Acidente de trabalho",$E13&gt;15),EDATE($I13,12),"—"))</f>
        <v/>
      </c>
      <c r="L13" s="30" t="n"/>
      <c r="M13" s="30" t="n"/>
      <c r="N13" s="28">
        <f>IF($I13="","",IF($I13&lt;=TODAY(),"Retornou",IF($I13-TODAY()&lt;=7,"Retorno em até 7 dias","Ativo")))</f>
        <v/>
      </c>
      <c r="O13" s="28">
        <f>IF($A13="","",IF(AND($B13="Acidente de trabalho",$L13&lt;&gt;"Sim"),"Emitir CAT (S-2210)",IF($M13="Pendente","Enviar S-2230",IF(AND($J13="Sim",$N13="Retorno em até 7 dias"),"Agendar ASO de retorno",IF(AND($H13&lt;&gt;"",$H13&gt;=TODAY()),"Acompanhar perícia agendada","—")))))</f>
        <v/>
      </c>
      <c r="P13" s="28" t="n"/>
    </row>
    <row r="14" ht="18" customHeight="1">
      <c r="A14" s="28" t="n"/>
      <c r="B14" s="28" t="n"/>
      <c r="C14" s="29" t="n"/>
      <c r="D14" s="29" t="n"/>
      <c r="E14" s="32">
        <f>IF(OR($A14="",$C14="",$D14=""),"",$D14-$C14+1)</f>
        <v/>
      </c>
      <c r="F14" s="32">
        <f>IF($E14="","",IF(OR($B14="Doença",$B14="Acidente de trabalho"),MIN(15,$E14),IF($B14="Licença-maternidade","Ver nota abaixo","—")))</f>
        <v/>
      </c>
      <c r="G14" s="29">
        <f>IF($E14="","",IF(AND(OR($B14="Doença",$B14="Acidente de trabalho"),$E14&gt;15),$C14+15,"—"))</f>
        <v/>
      </c>
      <c r="H14" s="29" t="n"/>
      <c r="I14" s="29">
        <f>IF(OR($A14="",$D14=""),"",$D14+1)</f>
        <v/>
      </c>
      <c r="J14" s="30">
        <f>IF($E14="","",IF(AND(OR($B14="Doença",$B14="Acidente de trabalho"),$E14&gt;=30),"Sim","Não"))</f>
        <v/>
      </c>
      <c r="K14" s="29">
        <f>IF(OR($E14="",$I14=""),"",IF(AND($B14="Acidente de trabalho",$E14&gt;15),EDATE($I14,12),"—"))</f>
        <v/>
      </c>
      <c r="L14" s="30" t="n"/>
      <c r="M14" s="30" t="n"/>
      <c r="N14" s="28">
        <f>IF($I14="","",IF($I14&lt;=TODAY(),"Retornou",IF($I14-TODAY()&lt;=7,"Retorno em até 7 dias","Ativo")))</f>
        <v/>
      </c>
      <c r="O14" s="28">
        <f>IF($A14="","",IF(AND($B14="Acidente de trabalho",$L14&lt;&gt;"Sim"),"Emitir CAT (S-2210)",IF($M14="Pendente","Enviar S-2230",IF(AND($J14="Sim",$N14="Retorno em até 7 dias"),"Agendar ASO de retorno",IF(AND($H14&lt;&gt;"",$H14&gt;=TODAY()),"Acompanhar perícia agendada","—")))))</f>
        <v/>
      </c>
      <c r="P14" s="28" t="n"/>
    </row>
    <row r="15" ht="18" customHeight="1">
      <c r="A15" s="28" t="n"/>
      <c r="B15" s="28" t="n"/>
      <c r="C15" s="29" t="n"/>
      <c r="D15" s="29" t="n"/>
      <c r="E15" s="32">
        <f>IF(OR($A15="",$C15="",$D15=""),"",$D15-$C15+1)</f>
        <v/>
      </c>
      <c r="F15" s="32">
        <f>IF($E15="","",IF(OR($B15="Doença",$B15="Acidente de trabalho"),MIN(15,$E15),IF($B15="Licença-maternidade","Ver nota abaixo","—")))</f>
        <v/>
      </c>
      <c r="G15" s="29">
        <f>IF($E15="","",IF(AND(OR($B15="Doença",$B15="Acidente de trabalho"),$E15&gt;15),$C15+15,"—"))</f>
        <v/>
      </c>
      <c r="H15" s="29" t="n"/>
      <c r="I15" s="29">
        <f>IF(OR($A15="",$D15=""),"",$D15+1)</f>
        <v/>
      </c>
      <c r="J15" s="30">
        <f>IF($E15="","",IF(AND(OR($B15="Doença",$B15="Acidente de trabalho"),$E15&gt;=30),"Sim","Não"))</f>
        <v/>
      </c>
      <c r="K15" s="29">
        <f>IF(OR($E15="",$I15=""),"",IF(AND($B15="Acidente de trabalho",$E15&gt;15),EDATE($I15,12),"—"))</f>
        <v/>
      </c>
      <c r="L15" s="30" t="n"/>
      <c r="M15" s="30" t="n"/>
      <c r="N15" s="28">
        <f>IF($I15="","",IF($I15&lt;=TODAY(),"Retornou",IF($I15-TODAY()&lt;=7,"Retorno em até 7 dias","Ativo")))</f>
        <v/>
      </c>
      <c r="O15" s="28">
        <f>IF($A15="","",IF(AND($B15="Acidente de trabalho",$L15&lt;&gt;"Sim"),"Emitir CAT (S-2210)",IF($M15="Pendente","Enviar S-2230",IF(AND($J15="Sim",$N15="Retorno em até 7 dias"),"Agendar ASO de retorno",IF(AND($H15&lt;&gt;"",$H15&gt;=TODAY()),"Acompanhar perícia agendada","—")))))</f>
        <v/>
      </c>
      <c r="P15" s="28" t="n"/>
    </row>
    <row r="16" ht="18" customHeight="1">
      <c r="A16" s="28" t="n"/>
      <c r="B16" s="28" t="n"/>
      <c r="C16" s="29" t="n"/>
      <c r="D16" s="29" t="n"/>
      <c r="E16" s="32">
        <f>IF(OR($A16="",$C16="",$D16=""),"",$D16-$C16+1)</f>
        <v/>
      </c>
      <c r="F16" s="32">
        <f>IF($E16="","",IF(OR($B16="Doença",$B16="Acidente de trabalho"),MIN(15,$E16),IF($B16="Licença-maternidade","Ver nota abaixo","—")))</f>
        <v/>
      </c>
      <c r="G16" s="29">
        <f>IF($E16="","",IF(AND(OR($B16="Doença",$B16="Acidente de trabalho"),$E16&gt;15),$C16+15,"—"))</f>
        <v/>
      </c>
      <c r="H16" s="29" t="n"/>
      <c r="I16" s="29">
        <f>IF(OR($A16="",$D16=""),"",$D16+1)</f>
        <v/>
      </c>
      <c r="J16" s="30">
        <f>IF($E16="","",IF(AND(OR($B16="Doença",$B16="Acidente de trabalho"),$E16&gt;=30),"Sim","Não"))</f>
        <v/>
      </c>
      <c r="K16" s="29">
        <f>IF(OR($E16="",$I16=""),"",IF(AND($B16="Acidente de trabalho",$E16&gt;15),EDATE($I16,12),"—"))</f>
        <v/>
      </c>
      <c r="L16" s="30" t="n"/>
      <c r="M16" s="30" t="n"/>
      <c r="N16" s="28">
        <f>IF($I16="","",IF($I16&lt;=TODAY(),"Retornou",IF($I16-TODAY()&lt;=7,"Retorno em até 7 dias","Ativo")))</f>
        <v/>
      </c>
      <c r="O16" s="28">
        <f>IF($A16="","",IF(AND($B16="Acidente de trabalho",$L16&lt;&gt;"Sim"),"Emitir CAT (S-2210)",IF($M16="Pendente","Enviar S-2230",IF(AND($J16="Sim",$N16="Retorno em até 7 dias"),"Agendar ASO de retorno",IF(AND($H16&lt;&gt;"",$H16&gt;=TODAY()),"Acompanhar perícia agendada","—")))))</f>
        <v/>
      </c>
      <c r="P16" s="28" t="n"/>
    </row>
    <row r="17" ht="18" customHeight="1">
      <c r="A17" s="28" t="n"/>
      <c r="B17" s="28" t="n"/>
      <c r="C17" s="29" t="n"/>
      <c r="D17" s="29" t="n"/>
      <c r="E17" s="32">
        <f>IF(OR($A17="",$C17="",$D17=""),"",$D17-$C17+1)</f>
        <v/>
      </c>
      <c r="F17" s="32">
        <f>IF($E17="","",IF(OR($B17="Doença",$B17="Acidente de trabalho"),MIN(15,$E17),IF($B17="Licença-maternidade","Ver nota abaixo","—")))</f>
        <v/>
      </c>
      <c r="G17" s="29">
        <f>IF($E17="","",IF(AND(OR($B17="Doença",$B17="Acidente de trabalho"),$E17&gt;15),$C17+15,"—"))</f>
        <v/>
      </c>
      <c r="H17" s="29" t="n"/>
      <c r="I17" s="29">
        <f>IF(OR($A17="",$D17=""),"",$D17+1)</f>
        <v/>
      </c>
      <c r="J17" s="30">
        <f>IF($E17="","",IF(AND(OR($B17="Doença",$B17="Acidente de trabalho"),$E17&gt;=30),"Sim","Não"))</f>
        <v/>
      </c>
      <c r="K17" s="29">
        <f>IF(OR($E17="",$I17=""),"",IF(AND($B17="Acidente de trabalho",$E17&gt;15),EDATE($I17,12),"—"))</f>
        <v/>
      </c>
      <c r="L17" s="30" t="n"/>
      <c r="M17" s="30" t="n"/>
      <c r="N17" s="28">
        <f>IF($I17="","",IF($I17&lt;=TODAY(),"Retornou",IF($I17-TODAY()&lt;=7,"Retorno em até 7 dias","Ativo")))</f>
        <v/>
      </c>
      <c r="O17" s="28">
        <f>IF($A17="","",IF(AND($B17="Acidente de trabalho",$L17&lt;&gt;"Sim"),"Emitir CAT (S-2210)",IF($M17="Pendente","Enviar S-2230",IF(AND($J17="Sim",$N17="Retorno em até 7 dias"),"Agendar ASO de retorno",IF(AND($H17&lt;&gt;"",$H17&gt;=TODAY()),"Acompanhar perícia agendada","—")))))</f>
        <v/>
      </c>
      <c r="P17" s="28" t="n"/>
    </row>
    <row r="18" ht="18" customHeight="1">
      <c r="A18" s="28" t="n"/>
      <c r="B18" s="28" t="n"/>
      <c r="C18" s="29" t="n"/>
      <c r="D18" s="29" t="n"/>
      <c r="E18" s="32">
        <f>IF(OR($A18="",$C18="",$D18=""),"",$D18-$C18+1)</f>
        <v/>
      </c>
      <c r="F18" s="32">
        <f>IF($E18="","",IF(OR($B18="Doença",$B18="Acidente de trabalho"),MIN(15,$E18),IF($B18="Licença-maternidade","Ver nota abaixo","—")))</f>
        <v/>
      </c>
      <c r="G18" s="29">
        <f>IF($E18="","",IF(AND(OR($B18="Doença",$B18="Acidente de trabalho"),$E18&gt;15),$C18+15,"—"))</f>
        <v/>
      </c>
      <c r="H18" s="29" t="n"/>
      <c r="I18" s="29">
        <f>IF(OR($A18="",$D18=""),"",$D18+1)</f>
        <v/>
      </c>
      <c r="J18" s="30">
        <f>IF($E18="","",IF(AND(OR($B18="Doença",$B18="Acidente de trabalho"),$E18&gt;=30),"Sim","Não"))</f>
        <v/>
      </c>
      <c r="K18" s="29">
        <f>IF(OR($E18="",$I18=""),"",IF(AND($B18="Acidente de trabalho",$E18&gt;15),EDATE($I18,12),"—"))</f>
        <v/>
      </c>
      <c r="L18" s="30" t="n"/>
      <c r="M18" s="30" t="n"/>
      <c r="N18" s="28">
        <f>IF($I18="","",IF($I18&lt;=TODAY(),"Retornou",IF($I18-TODAY()&lt;=7,"Retorno em até 7 dias","Ativo")))</f>
        <v/>
      </c>
      <c r="O18" s="28">
        <f>IF($A18="","",IF(AND($B18="Acidente de trabalho",$L18&lt;&gt;"Sim"),"Emitir CAT (S-2210)",IF($M18="Pendente","Enviar S-2230",IF(AND($J18="Sim",$N18="Retorno em até 7 dias"),"Agendar ASO de retorno",IF(AND($H18&lt;&gt;"",$H18&gt;=TODAY()),"Acompanhar perícia agendada","—")))))</f>
        <v/>
      </c>
      <c r="P18" s="28" t="n"/>
    </row>
    <row r="19" ht="18" customHeight="1">
      <c r="A19" s="28" t="n"/>
      <c r="B19" s="28" t="n"/>
      <c r="C19" s="29" t="n"/>
      <c r="D19" s="29" t="n"/>
      <c r="E19" s="32">
        <f>IF(OR($A19="",$C19="",$D19=""),"",$D19-$C19+1)</f>
        <v/>
      </c>
      <c r="F19" s="32">
        <f>IF($E19="","",IF(OR($B19="Doença",$B19="Acidente de trabalho"),MIN(15,$E19),IF($B19="Licença-maternidade","Ver nota abaixo","—")))</f>
        <v/>
      </c>
      <c r="G19" s="29">
        <f>IF($E19="","",IF(AND(OR($B19="Doença",$B19="Acidente de trabalho"),$E19&gt;15),$C19+15,"—"))</f>
        <v/>
      </c>
      <c r="H19" s="29" t="n"/>
      <c r="I19" s="29">
        <f>IF(OR($A19="",$D19=""),"",$D19+1)</f>
        <v/>
      </c>
      <c r="J19" s="30">
        <f>IF($E19="","",IF(AND(OR($B19="Doença",$B19="Acidente de trabalho"),$E19&gt;=30),"Sim","Não"))</f>
        <v/>
      </c>
      <c r="K19" s="29">
        <f>IF(OR($E19="",$I19=""),"",IF(AND($B19="Acidente de trabalho",$E19&gt;15),EDATE($I19,12),"—"))</f>
        <v/>
      </c>
      <c r="L19" s="30" t="n"/>
      <c r="M19" s="30" t="n"/>
      <c r="N19" s="28">
        <f>IF($I19="","",IF($I19&lt;=TODAY(),"Retornou",IF($I19-TODAY()&lt;=7,"Retorno em até 7 dias","Ativo")))</f>
        <v/>
      </c>
      <c r="O19" s="28">
        <f>IF($A19="","",IF(AND($B19="Acidente de trabalho",$L19&lt;&gt;"Sim"),"Emitir CAT (S-2210)",IF($M19="Pendente","Enviar S-2230",IF(AND($J19="Sim",$N19="Retorno em até 7 dias"),"Agendar ASO de retorno",IF(AND($H19&lt;&gt;"",$H19&gt;=TODAY()),"Acompanhar perícia agendada","—")))))</f>
        <v/>
      </c>
      <c r="P19" s="28" t="n"/>
    </row>
    <row r="20" ht="18" customHeight="1">
      <c r="A20" s="28" t="n"/>
      <c r="B20" s="28" t="n"/>
      <c r="C20" s="29" t="n"/>
      <c r="D20" s="29" t="n"/>
      <c r="E20" s="32">
        <f>IF(OR($A20="",$C20="",$D20=""),"",$D20-$C20+1)</f>
        <v/>
      </c>
      <c r="F20" s="32">
        <f>IF($E20="","",IF(OR($B20="Doença",$B20="Acidente de trabalho"),MIN(15,$E20),IF($B20="Licença-maternidade","Ver nota abaixo","—")))</f>
        <v/>
      </c>
      <c r="G20" s="29">
        <f>IF($E20="","",IF(AND(OR($B20="Doença",$B20="Acidente de trabalho"),$E20&gt;15),$C20+15,"—"))</f>
        <v/>
      </c>
      <c r="H20" s="29" t="n"/>
      <c r="I20" s="29">
        <f>IF(OR($A20="",$D20=""),"",$D20+1)</f>
        <v/>
      </c>
      <c r="J20" s="30">
        <f>IF($E20="","",IF(AND(OR($B20="Doença",$B20="Acidente de trabalho"),$E20&gt;=30),"Sim","Não"))</f>
        <v/>
      </c>
      <c r="K20" s="29">
        <f>IF(OR($E20="",$I20=""),"",IF(AND($B20="Acidente de trabalho",$E20&gt;15),EDATE($I20,12),"—"))</f>
        <v/>
      </c>
      <c r="L20" s="30" t="n"/>
      <c r="M20" s="30" t="n"/>
      <c r="N20" s="28">
        <f>IF($I20="","",IF($I20&lt;=TODAY(),"Retornou",IF($I20-TODAY()&lt;=7,"Retorno em até 7 dias","Ativo")))</f>
        <v/>
      </c>
      <c r="O20" s="28">
        <f>IF($A20="","",IF(AND($B20="Acidente de trabalho",$L20&lt;&gt;"Sim"),"Emitir CAT (S-2210)",IF($M20="Pendente","Enviar S-2230",IF(AND($J20="Sim",$N20="Retorno em até 7 dias"),"Agendar ASO de retorno",IF(AND($H20&lt;&gt;"",$H20&gt;=TODAY()),"Acompanhar perícia agendada","—")))))</f>
        <v/>
      </c>
      <c r="P20" s="28" t="n"/>
    </row>
    <row r="21" ht="18" customHeight="1">
      <c r="A21" s="28" t="n"/>
      <c r="B21" s="28" t="n"/>
      <c r="C21" s="29" t="n"/>
      <c r="D21" s="29" t="n"/>
      <c r="E21" s="32">
        <f>IF(OR($A21="",$C21="",$D21=""),"",$D21-$C21+1)</f>
        <v/>
      </c>
      <c r="F21" s="32">
        <f>IF($E21="","",IF(OR($B21="Doença",$B21="Acidente de trabalho"),MIN(15,$E21),IF($B21="Licença-maternidade","Ver nota abaixo","—")))</f>
        <v/>
      </c>
      <c r="G21" s="29">
        <f>IF($E21="","",IF(AND(OR($B21="Doença",$B21="Acidente de trabalho"),$E21&gt;15),$C21+15,"—"))</f>
        <v/>
      </c>
      <c r="H21" s="29" t="n"/>
      <c r="I21" s="29">
        <f>IF(OR($A21="",$D21=""),"",$D21+1)</f>
        <v/>
      </c>
      <c r="J21" s="30">
        <f>IF($E21="","",IF(AND(OR($B21="Doença",$B21="Acidente de trabalho"),$E21&gt;=30),"Sim","Não"))</f>
        <v/>
      </c>
      <c r="K21" s="29">
        <f>IF(OR($E21="",$I21=""),"",IF(AND($B21="Acidente de trabalho",$E21&gt;15),EDATE($I21,12),"—"))</f>
        <v/>
      </c>
      <c r="L21" s="30" t="n"/>
      <c r="M21" s="30" t="n"/>
      <c r="N21" s="28">
        <f>IF($I21="","",IF($I21&lt;=TODAY(),"Retornou",IF($I21-TODAY()&lt;=7,"Retorno em até 7 dias","Ativo")))</f>
        <v/>
      </c>
      <c r="O21" s="28">
        <f>IF($A21="","",IF(AND($B21="Acidente de trabalho",$L21&lt;&gt;"Sim"),"Emitir CAT (S-2210)",IF($M21="Pendente","Enviar S-2230",IF(AND($J21="Sim",$N21="Retorno em até 7 dias"),"Agendar ASO de retorno",IF(AND($H21&lt;&gt;"",$H21&gt;=TODAY()),"Acompanhar perícia agendada","—")))))</f>
        <v/>
      </c>
      <c r="P21" s="28" t="n"/>
    </row>
    <row r="22" ht="18" customHeight="1">
      <c r="A22" s="28" t="n"/>
      <c r="B22" s="28" t="n"/>
      <c r="C22" s="29" t="n"/>
      <c r="D22" s="29" t="n"/>
      <c r="E22" s="32">
        <f>IF(OR($A22="",$C22="",$D22=""),"",$D22-$C22+1)</f>
        <v/>
      </c>
      <c r="F22" s="32">
        <f>IF($E22="","",IF(OR($B22="Doença",$B22="Acidente de trabalho"),MIN(15,$E22),IF($B22="Licença-maternidade","Ver nota abaixo","—")))</f>
        <v/>
      </c>
      <c r="G22" s="29">
        <f>IF($E22="","",IF(AND(OR($B22="Doença",$B22="Acidente de trabalho"),$E22&gt;15),$C22+15,"—"))</f>
        <v/>
      </c>
      <c r="H22" s="29" t="n"/>
      <c r="I22" s="29">
        <f>IF(OR($A22="",$D22=""),"",$D22+1)</f>
        <v/>
      </c>
      <c r="J22" s="30">
        <f>IF($E22="","",IF(AND(OR($B22="Doença",$B22="Acidente de trabalho"),$E22&gt;=30),"Sim","Não"))</f>
        <v/>
      </c>
      <c r="K22" s="29">
        <f>IF(OR($E22="",$I22=""),"",IF(AND($B22="Acidente de trabalho",$E22&gt;15),EDATE($I22,12),"—"))</f>
        <v/>
      </c>
      <c r="L22" s="30" t="n"/>
      <c r="M22" s="30" t="n"/>
      <c r="N22" s="28">
        <f>IF($I22="","",IF($I22&lt;=TODAY(),"Retornou",IF($I22-TODAY()&lt;=7,"Retorno em até 7 dias","Ativo")))</f>
        <v/>
      </c>
      <c r="O22" s="28">
        <f>IF($A22="","",IF(AND($B22="Acidente de trabalho",$L22&lt;&gt;"Sim"),"Emitir CAT (S-2210)",IF($M22="Pendente","Enviar S-2230",IF(AND($J22="Sim",$N22="Retorno em até 7 dias"),"Agendar ASO de retorno",IF(AND($H22&lt;&gt;"",$H22&gt;=TODAY()),"Acompanhar perícia agendada","—")))))</f>
        <v/>
      </c>
      <c r="P22" s="28" t="n"/>
    </row>
    <row r="23" ht="18" customHeight="1">
      <c r="A23" s="28" t="n"/>
      <c r="B23" s="28" t="n"/>
      <c r="C23" s="29" t="n"/>
      <c r="D23" s="29" t="n"/>
      <c r="E23" s="32">
        <f>IF(OR($A23="",$C23="",$D23=""),"",$D23-$C23+1)</f>
        <v/>
      </c>
      <c r="F23" s="32">
        <f>IF($E23="","",IF(OR($B23="Doença",$B23="Acidente de trabalho"),MIN(15,$E23),IF($B23="Licença-maternidade","Ver nota abaixo","—")))</f>
        <v/>
      </c>
      <c r="G23" s="29">
        <f>IF($E23="","",IF(AND(OR($B23="Doença",$B23="Acidente de trabalho"),$E23&gt;15),$C23+15,"—"))</f>
        <v/>
      </c>
      <c r="H23" s="29" t="n"/>
      <c r="I23" s="29">
        <f>IF(OR($A23="",$D23=""),"",$D23+1)</f>
        <v/>
      </c>
      <c r="J23" s="30">
        <f>IF($E23="","",IF(AND(OR($B23="Doença",$B23="Acidente de trabalho"),$E23&gt;=30),"Sim","Não"))</f>
        <v/>
      </c>
      <c r="K23" s="29">
        <f>IF(OR($E23="",$I23=""),"",IF(AND($B23="Acidente de trabalho",$E23&gt;15),EDATE($I23,12),"—"))</f>
        <v/>
      </c>
      <c r="L23" s="30" t="n"/>
      <c r="M23" s="30" t="n"/>
      <c r="N23" s="28">
        <f>IF($I23="","",IF($I23&lt;=TODAY(),"Retornou",IF($I23-TODAY()&lt;=7,"Retorno em até 7 dias","Ativo")))</f>
        <v/>
      </c>
      <c r="O23" s="28">
        <f>IF($A23="","",IF(AND($B23="Acidente de trabalho",$L23&lt;&gt;"Sim"),"Emitir CAT (S-2210)",IF($M23="Pendente","Enviar S-2230",IF(AND($J23="Sim",$N23="Retorno em até 7 dias"),"Agendar ASO de retorno",IF(AND($H23&lt;&gt;"",$H23&gt;=TODAY()),"Acompanhar perícia agendada","—")))))</f>
        <v/>
      </c>
      <c r="P23" s="28" t="n"/>
    </row>
    <row r="24" ht="18" customHeight="1">
      <c r="A24" s="28" t="n"/>
      <c r="B24" s="28" t="n"/>
      <c r="C24" s="29" t="n"/>
      <c r="D24" s="29" t="n"/>
      <c r="E24" s="32">
        <f>IF(OR($A24="",$C24="",$D24=""),"",$D24-$C24+1)</f>
        <v/>
      </c>
      <c r="F24" s="32">
        <f>IF($E24="","",IF(OR($B24="Doença",$B24="Acidente de trabalho"),MIN(15,$E24),IF($B24="Licença-maternidade","Ver nota abaixo","—")))</f>
        <v/>
      </c>
      <c r="G24" s="29">
        <f>IF($E24="","",IF(AND(OR($B24="Doença",$B24="Acidente de trabalho"),$E24&gt;15),$C24+15,"—"))</f>
        <v/>
      </c>
      <c r="H24" s="29" t="n"/>
      <c r="I24" s="29">
        <f>IF(OR($A24="",$D24=""),"",$D24+1)</f>
        <v/>
      </c>
      <c r="J24" s="30">
        <f>IF($E24="","",IF(AND(OR($B24="Doença",$B24="Acidente de trabalho"),$E24&gt;=30),"Sim","Não"))</f>
        <v/>
      </c>
      <c r="K24" s="29">
        <f>IF(OR($E24="",$I24=""),"",IF(AND($B24="Acidente de trabalho",$E24&gt;15),EDATE($I24,12),"—"))</f>
        <v/>
      </c>
      <c r="L24" s="30" t="n"/>
      <c r="M24" s="30" t="n"/>
      <c r="N24" s="28">
        <f>IF($I24="","",IF($I24&lt;=TODAY(),"Retornou",IF($I24-TODAY()&lt;=7,"Retorno em até 7 dias","Ativo")))</f>
        <v/>
      </c>
      <c r="O24" s="28">
        <f>IF($A24="","",IF(AND($B24="Acidente de trabalho",$L24&lt;&gt;"Sim"),"Emitir CAT (S-2210)",IF($M24="Pendente","Enviar S-2230",IF(AND($J24="Sim",$N24="Retorno em até 7 dias"),"Agendar ASO de retorno",IF(AND($H24&lt;&gt;"",$H24&gt;=TODAY()),"Acompanhar perícia agendada","—")))))</f>
        <v/>
      </c>
      <c r="P24" s="28" t="n"/>
    </row>
    <row r="25" ht="18" customHeight="1">
      <c r="A25" s="28" t="n"/>
      <c r="B25" s="28" t="n"/>
      <c r="C25" s="29" t="n"/>
      <c r="D25" s="29" t="n"/>
      <c r="E25" s="32">
        <f>IF(OR($A25="",$C25="",$D25=""),"",$D25-$C25+1)</f>
        <v/>
      </c>
      <c r="F25" s="32">
        <f>IF($E25="","",IF(OR($B25="Doença",$B25="Acidente de trabalho"),MIN(15,$E25),IF($B25="Licença-maternidade","Ver nota abaixo","—")))</f>
        <v/>
      </c>
      <c r="G25" s="29">
        <f>IF($E25="","",IF(AND(OR($B25="Doença",$B25="Acidente de trabalho"),$E25&gt;15),$C25+15,"—"))</f>
        <v/>
      </c>
      <c r="H25" s="29" t="n"/>
      <c r="I25" s="29">
        <f>IF(OR($A25="",$D25=""),"",$D25+1)</f>
        <v/>
      </c>
      <c r="J25" s="30">
        <f>IF($E25="","",IF(AND(OR($B25="Doença",$B25="Acidente de trabalho"),$E25&gt;=30),"Sim","Não"))</f>
        <v/>
      </c>
      <c r="K25" s="29">
        <f>IF(OR($E25="",$I25=""),"",IF(AND($B25="Acidente de trabalho",$E25&gt;15),EDATE($I25,12),"—"))</f>
        <v/>
      </c>
      <c r="L25" s="30" t="n"/>
      <c r="M25" s="30" t="n"/>
      <c r="N25" s="28">
        <f>IF($I25="","",IF($I25&lt;=TODAY(),"Retornou",IF($I25-TODAY()&lt;=7,"Retorno em até 7 dias","Ativo")))</f>
        <v/>
      </c>
      <c r="O25" s="28">
        <f>IF($A25="","",IF(AND($B25="Acidente de trabalho",$L25&lt;&gt;"Sim"),"Emitir CAT (S-2210)",IF($M25="Pendente","Enviar S-2230",IF(AND($J25="Sim",$N25="Retorno em até 7 dias"),"Agendar ASO de retorno",IF(AND($H25&lt;&gt;"",$H25&gt;=TODAY()),"Acompanhar perícia agendada","—")))))</f>
        <v/>
      </c>
      <c r="P25" s="28" t="n"/>
    </row>
    <row r="27" ht="20" customHeight="1">
      <c r="A27" s="33" t="inlineStr">
        <is>
          <t>Notas e referências legais</t>
        </is>
      </c>
    </row>
    <row r="28" ht="29" customHeight="1">
      <c r="A28" s="34" t="inlineStr">
        <is>
          <t>• Doença ou acidente: os 15 primeiros dias consecutivos de afastamento são pagos pela empresa; a partir do 16º dia, o benefício por incapacidade temporária é pago pelo INSS (Lei 8.213/1991, art. 60, §3º).</t>
        </is>
      </c>
    </row>
    <row r="29" ht="16.5" customHeight="1">
      <c r="A29" s="34" t="inlineStr">
        <is>
          <t>• Atestados da mesma doença dentro de 60 dias se somam para a contagem dos 15 dias (Regulamento da Previdência Social — Decreto 3.048/1999).</t>
        </is>
      </c>
    </row>
    <row r="30" ht="29" customHeight="1">
      <c r="A30" s="34" t="inlineStr">
        <is>
          <t>• Exame de retorno ao trabalho: antes de reassumir a função quando a ausência for igual ou superior a 30 dias por doença ou acidente, ocupacional ou não (NR-7).</t>
        </is>
      </c>
    </row>
    <row r="31" ht="29" customHeight="1">
      <c r="A31" s="34" t="inlineStr">
        <is>
          <t>• Acidente de trabalho: CAT até o 1º dia útil seguinte ao da ocorrência e, em caso de morte, de imediato (Lei 8.213/1991, art. 22); no eSocial, evento S-2210.</t>
        </is>
      </c>
    </row>
    <row r="32" ht="29" customHeight="1">
      <c r="A32" s="34" t="inlineStr">
        <is>
          <t>• Estabilidade acidentária: mínimo de 12 meses após a cessação do auxílio-doença acidentário (Lei 8.213/1991, art. 118), o que pressupõe afastamento superior a 15 dias (Súmula 378 do TST).</t>
        </is>
      </c>
    </row>
    <row r="33" ht="29" customHeight="1">
      <c r="A33" s="34" t="inlineStr">
        <is>
          <t>• Licença-maternidade: 120 dias (CLT, art. 392), prorrogáveis por 60 dias na Empresa Cidadã (Lei 11.770/2008). O salário-maternidade é pago pela empresa e compensado nas contribuições previdenciárias (Lei 8.213/1991, art. 72, §1º) — por isso não entra como “dias pagos pela empresa”.</t>
        </is>
      </c>
    </row>
    <row r="34" ht="16.5" customHeight="1">
      <c r="A34" s="34" t="inlineStr">
        <is>
          <t>• Gestante: estabilidade desde a confirmação da gravidez até 5 meses após o parto (ADCT, art. 10, II, b).</t>
        </is>
      </c>
    </row>
  </sheetData>
  <autoFilter ref="A5:P25"/>
  <mergeCells count="7">
    <mergeCell ref="A29:I29"/>
    <mergeCell ref="A33:I33"/>
    <mergeCell ref="A28:I28"/>
    <mergeCell ref="A32:I32"/>
    <mergeCell ref="A31:I31"/>
    <mergeCell ref="A34:I34"/>
    <mergeCell ref="A30:I30"/>
  </mergeCells>
  <conditionalFormatting sqref="N6:N25">
    <cfRule type="expression" priority="1" dxfId="1">
      <formula>$N6="Retorno em até 7 dias"</formula>
    </cfRule>
    <cfRule type="expression" priority="2" dxfId="2">
      <formula>$N6="Retornou"</formula>
    </cfRule>
  </conditionalFormatting>
  <conditionalFormatting sqref="O6:O25">
    <cfRule type="expression" priority="3" dxfId="0">
      <formula>LEFT($O6,10)="Emitir CAT"</formula>
    </cfRule>
    <cfRule type="expression" priority="4" dxfId="1">
      <formula>AND($O6&lt;&gt;"—",$O6&lt;&gt;"")</formula>
    </cfRule>
  </conditionalFormatting>
  <conditionalFormatting sqref="L6:L25">
    <cfRule type="expression" priority="5" dxfId="0">
      <formula>AND($B6="Acidente de trabalho",$L6&lt;&gt;"Sim")</formula>
    </cfRule>
    <cfRule type="expression" priority="6" dxfId="3">
      <formula>$L6="Sim"</formula>
    </cfRule>
  </conditionalFormatting>
  <conditionalFormatting sqref="M6:M25">
    <cfRule type="expression" priority="7" dxfId="3">
      <formula>M6="OK"</formula>
    </cfRule>
    <cfRule type="expression" priority="8" dxfId="4">
      <formula>M6="Pendente"</formula>
    </cfRule>
    <cfRule type="expression" priority="9" dxfId="5">
      <formula>M6="N/A"</formula>
    </cfRule>
  </conditionalFormatting>
  <conditionalFormatting sqref="A6:P25">
    <cfRule type="expression" priority="10" dxfId="6">
      <formula>MOD(ROW(),2)=0</formula>
    </cfRule>
  </conditionalFormatting>
  <dataValidations count="3">
    <dataValidation sqref="B6:B25" showDropDown="0" showInputMessage="0" showErrorMessage="1" allowBlank="1" errorTitle="Valor inválido" error="Escolha um valor da lista." type="list">
      <formula1>"Doença,Acidente de trabalho,Licença-maternidade,Outros"</formula1>
    </dataValidation>
    <dataValidation sqref="L6:L25" showDropDown="0" showInputMessage="0" showErrorMessage="1" allowBlank="1" errorTitle="Valor inválido" error="Escolha um valor da lista." type="list">
      <formula1>"Sim,Não,N/A"</formula1>
    </dataValidation>
    <dataValidation sqref="M6:M25" showDropDown="0" showInputMessage="0" showErrorMessage="1" allowBlank="1" errorTitle="Valor inválido" error="Escolha um valor da lista." type="list">
      <formula1>"Pendente,OK,N/A"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M31"/>
  <sheetViews>
    <sheetView tabSelected="0" zoomScale="9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3" customWidth="1" min="2" max="2"/>
    <col width="11" customWidth="1" min="3" max="3"/>
    <col width="13" customWidth="1" min="4" max="4"/>
    <col width="15" customWidth="1" min="5" max="5"/>
    <col width="14" customWidth="1" min="6" max="6"/>
    <col width="14" customWidth="1" min="7" max="7"/>
    <col width="20" customWidth="1" min="8" max="8"/>
    <col width="11" customWidth="1" min="9" max="9"/>
    <col width="10" customWidth="1" min="10" max="10"/>
    <col width="16" customWidth="1" min="11" max="11"/>
    <col width="31" customWidth="1" min="12" max="12"/>
    <col width="44" customWidth="1" min="13" max="13"/>
  </cols>
  <sheetData>
    <row r="1" ht="28" customHeight="1">
      <c r="A1" s="21" t="inlineStr">
        <is>
          <t>Benefícios — vale-transporte, alimentação, saúde e seguro</t>
        </is>
      </c>
    </row>
    <row r="2" ht="16" customHeight="1">
      <c r="A2" s="2" t="inlineStr">
        <is>
          <t>O desconto do VT (até 6% do salário-base) e a coparticipação da empresa são calculados; valores e regras dos demais benefícios seguem a política interna e a CCT.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</row>
    <row r="4">
      <c r="A4" s="25" t="inlineStr">
        <is>
          <t>preencher</t>
        </is>
      </c>
      <c r="B4" s="25" t="inlineStr">
        <is>
          <t>preencher</t>
        </is>
      </c>
      <c r="C4" s="25" t="inlineStr">
        <is>
          <t>preencher</t>
        </is>
      </c>
      <c r="D4" s="25" t="inlineStr">
        <is>
          <t>preencher</t>
        </is>
      </c>
      <c r="E4" s="26" t="inlineStr">
        <is>
          <t>automático</t>
        </is>
      </c>
      <c r="F4" s="26" t="inlineStr">
        <is>
          <t>automático</t>
        </is>
      </c>
      <c r="G4" s="25" t="inlineStr">
        <is>
          <t>preencher</t>
        </is>
      </c>
      <c r="H4" s="25" t="inlineStr">
        <is>
          <t>preencher</t>
        </is>
      </c>
      <c r="I4" s="25" t="inlineStr">
        <is>
          <t>preencher</t>
        </is>
      </c>
      <c r="J4" s="25" t="inlineStr">
        <is>
          <t>preencher</t>
        </is>
      </c>
      <c r="K4" s="25" t="inlineStr">
        <is>
          <t>preencher</t>
        </is>
      </c>
      <c r="L4" s="26" t="inlineStr">
        <is>
          <t>automático</t>
        </is>
      </c>
      <c r="M4" s="25" t="inlineStr">
        <is>
          <t>preencher</t>
        </is>
      </c>
    </row>
    <row r="5" ht="70.5" customHeight="1">
      <c r="A5" s="27" t="inlineStr">
        <is>
          <t>Colaborador</t>
        </is>
      </c>
      <c r="B5" s="27" t="inlineStr">
        <is>
          <t>Salário-base</t>
        </is>
      </c>
      <c r="C5" s="27" t="inlineStr">
        <is>
          <t>Vale-transporte</t>
        </is>
      </c>
      <c r="D5" s="27" t="inlineStr">
        <is>
          <t>Custo mensal do VT (informado)</t>
        </is>
      </c>
      <c r="E5" s="27" t="inlineStr">
        <is>
          <t>Desconto VT (6% do salário-base, limitado ao custo)</t>
        </is>
      </c>
      <c r="F5" s="27" t="inlineStr">
        <is>
          <t>Coparticipação da empresa no VT</t>
        </is>
      </c>
      <c r="G5" s="27" t="inlineStr">
        <is>
          <t>Vale-alimentação / refeição (R$/mês)</t>
        </is>
      </c>
      <c r="H5" s="27" t="inlineStr">
        <is>
          <t>Plano de saúde</t>
        </is>
      </c>
      <c r="I5" s="27" t="inlineStr">
        <is>
          <t>Dependentes no plano</t>
        </is>
      </c>
      <c r="J5" s="27" t="inlineStr">
        <is>
          <t>Seguro de vida</t>
        </is>
      </c>
      <c r="K5" s="27" t="inlineStr">
        <is>
          <t>Status de adesão</t>
        </is>
      </c>
      <c r="L5" s="27" t="inlineStr">
        <is>
          <t>Alerta</t>
        </is>
      </c>
      <c r="M5" s="27" t="inlineStr">
        <is>
          <t>Observações</t>
        </is>
      </c>
    </row>
    <row r="6" ht="18" customHeight="1">
      <c r="A6" s="28" t="inlineStr">
        <is>
          <t>Mariana Costa Ribeiro</t>
        </is>
      </c>
      <c r="B6" s="45" t="n">
        <v>2850</v>
      </c>
      <c r="C6" s="30" t="inlineStr">
        <is>
          <t>Sim</t>
        </is>
      </c>
      <c r="D6" s="45" t="n">
        <v>264</v>
      </c>
      <c r="E6" s="45">
        <f>IF($A6="","",IF($C6="Sim",MIN(ROUND($B6*0.06,2),N($D6)),0))</f>
        <v/>
      </c>
      <c r="F6" s="45">
        <f>IF($A6="","",IF($C6="Sim",MAX(N($D6)-$E6,0),0))</f>
        <v/>
      </c>
      <c r="G6" s="45" t="n">
        <v>750</v>
      </c>
      <c r="H6" s="30" t="inlineStr">
        <is>
          <t>Titular</t>
        </is>
      </c>
      <c r="I6" s="32" t="n">
        <v>0</v>
      </c>
      <c r="J6" s="30" t="inlineStr">
        <is>
          <t>Sim</t>
        </is>
      </c>
      <c r="K6" s="30" t="inlineStr">
        <is>
          <t>Concluída</t>
        </is>
      </c>
      <c r="L6" s="28">
        <f>IF($A6="","",IF(AND($C6="Sim",$D6=""),"Informar custo do VT",IF($K6="Pendente","Coletar documentos / assinaturas",IF(AND($H6="Titular + dependentes",N($I6)=0),"Informar nº de dependentes","OK"))))</f>
        <v/>
      </c>
      <c r="M6" s="28" t="n"/>
    </row>
    <row r="7" ht="18" customHeight="1">
      <c r="A7" s="28" t="inlineStr">
        <is>
          <t>Lucas Henrique Almeida</t>
        </is>
      </c>
      <c r="B7" s="45" t="n">
        <v>2300</v>
      </c>
      <c r="C7" s="30" t="inlineStr">
        <is>
          <t>Sim</t>
        </is>
      </c>
      <c r="D7" s="45" t="n">
        <v>220</v>
      </c>
      <c r="E7" s="45">
        <f>IF($A7="","",IF($C7="Sim",MIN(ROUND($B7*0.06,2),N($D7)),0))</f>
        <v/>
      </c>
      <c r="F7" s="45">
        <f>IF($A7="","",IF($C7="Sim",MAX(N($D7)-$E7,0),0))</f>
        <v/>
      </c>
      <c r="G7" s="45" t="n">
        <v>750</v>
      </c>
      <c r="H7" s="30" t="inlineStr">
        <is>
          <t>Titular + dependentes</t>
        </is>
      </c>
      <c r="I7" s="32" t="n">
        <v>2</v>
      </c>
      <c r="J7" s="30" t="inlineStr">
        <is>
          <t>Sim</t>
        </is>
      </c>
      <c r="K7" s="30" t="inlineStr">
        <is>
          <t>Pendente</t>
        </is>
      </c>
      <c r="L7" s="28">
        <f>IF($A7="","",IF(AND($C7="Sim",$D7=""),"Informar custo do VT",IF($K7="Pendente","Coletar documentos / assinaturas",IF(AND($H7="Titular + dependentes",N($I7)=0),"Informar nº de dependentes","OK"))))</f>
        <v/>
      </c>
      <c r="M7" s="28" t="inlineStr">
        <is>
          <t>Certidões dos dependentes pendentes</t>
        </is>
      </c>
    </row>
    <row r="8" ht="18" customHeight="1">
      <c r="A8" s="28" t="inlineStr">
        <is>
          <t>Carlos Eduardo Nunes</t>
        </is>
      </c>
      <c r="B8" s="45" t="n">
        <v>4200</v>
      </c>
      <c r="C8" s="30" t="inlineStr">
        <is>
          <t>Não</t>
        </is>
      </c>
      <c r="D8" s="45" t="n"/>
      <c r="E8" s="45">
        <f>IF($A8="","",IF($C8="Sim",MIN(ROUND($B8*0.06,2),N($D8)),0))</f>
        <v/>
      </c>
      <c r="F8" s="45">
        <f>IF($A8="","",IF($C8="Sim",MAX(N($D8)-$E8,0),0))</f>
        <v/>
      </c>
      <c r="G8" s="45" t="n">
        <v>750</v>
      </c>
      <c r="H8" s="30" t="inlineStr">
        <is>
          <t>Titular + dependentes</t>
        </is>
      </c>
      <c r="I8" s="32" t="n">
        <v>3</v>
      </c>
      <c r="J8" s="30" t="inlineStr">
        <is>
          <t>Sim</t>
        </is>
      </c>
      <c r="K8" s="30" t="inlineStr">
        <is>
          <t>Concluída</t>
        </is>
      </c>
      <c r="L8" s="28">
        <f>IF($A8="","",IF(AND($C8="Sim",$D8=""),"Informar custo do VT",IF($K8="Pendente","Coletar documentos / assinaturas",IF(AND($H8="Titular + dependentes",N($I8)=0),"Informar nº de dependentes","OK"))))</f>
        <v/>
      </c>
      <c r="M8" s="28" t="inlineStr">
        <is>
          <t>Optou por não receber VT (declaração assinada)</t>
        </is>
      </c>
    </row>
    <row r="9" ht="18" customHeight="1">
      <c r="A9" s="28" t="inlineStr">
        <is>
          <t>Fernanda Oliveira Santos</t>
        </is>
      </c>
      <c r="B9" s="45" t="n">
        <v>2600</v>
      </c>
      <c r="C9" s="30" t="inlineStr">
        <is>
          <t>Sim</t>
        </is>
      </c>
      <c r="D9" s="45" t="n">
        <v>132</v>
      </c>
      <c r="E9" s="45">
        <f>IF($A9="","",IF($C9="Sim",MIN(ROUND($B9*0.06,2),N($D9)),0))</f>
        <v/>
      </c>
      <c r="F9" s="45">
        <f>IF($A9="","",IF($C9="Sim",MAX(N($D9)-$E9,0),0))</f>
        <v/>
      </c>
      <c r="G9" s="45" t="n">
        <v>750</v>
      </c>
      <c r="H9" s="30" t="inlineStr">
        <is>
          <t>Titular</t>
        </is>
      </c>
      <c r="I9" s="32" t="n">
        <v>0</v>
      </c>
      <c r="J9" s="30" t="inlineStr">
        <is>
          <t>Sim</t>
        </is>
      </c>
      <c r="K9" s="30" t="inlineStr">
        <is>
          <t>Pendente</t>
        </is>
      </c>
      <c r="L9" s="28">
        <f>IF($A9="","",IF(AND($C9="Sim",$D9=""),"Informar custo do VT",IF($K9="Pendente","Coletar documentos / assinaturas",IF(AND($H9="Titular + dependentes",N($I9)=0),"Informar nº de dependentes","OK"))))</f>
        <v/>
      </c>
      <c r="M9" s="28" t="inlineStr">
        <is>
          <t>Custo do VT menor que 6%: desconto limitado ao custo</t>
        </is>
      </c>
    </row>
    <row r="10" ht="18" customHeight="1">
      <c r="A10" s="28" t="inlineStr">
        <is>
          <t>Patrícia Lopes Barbosa</t>
        </is>
      </c>
      <c r="B10" s="45" t="n">
        <v>3100</v>
      </c>
      <c r="C10" s="30" t="inlineStr">
        <is>
          <t>Sim</t>
        </is>
      </c>
      <c r="D10" s="45" t="n">
        <v>286</v>
      </c>
      <c r="E10" s="45">
        <f>IF($A10="","",IF($C10="Sim",MIN(ROUND($B10*0.06,2),N($D10)),0))</f>
        <v/>
      </c>
      <c r="F10" s="45">
        <f>IF($A10="","",IF($C10="Sim",MAX(N($D10)-$E10,0),0))</f>
        <v/>
      </c>
      <c r="G10" s="45" t="n">
        <v>750</v>
      </c>
      <c r="H10" s="30" t="inlineStr">
        <is>
          <t>Não aderiu</t>
        </is>
      </c>
      <c r="I10" s="32" t="n">
        <v>0</v>
      </c>
      <c r="J10" s="30" t="inlineStr">
        <is>
          <t>Sim</t>
        </is>
      </c>
      <c r="K10" s="30" t="inlineStr">
        <is>
          <t>Recusa assinada</t>
        </is>
      </c>
      <c r="L10" s="28">
        <f>IF($A10="","",IF(AND($C10="Sim",$D10=""),"Informar custo do VT",IF($K10="Pendente","Coletar documentos / assinaturas",IF(AND($H10="Titular + dependentes",N($I10)=0),"Informar nº de dependentes","OK"))))</f>
        <v/>
      </c>
      <c r="M10" s="28" t="inlineStr">
        <is>
          <t>Recusa do plano de saúde formalizada</t>
        </is>
      </c>
    </row>
    <row r="11" ht="18" customHeight="1">
      <c r="A11" s="28" t="inlineStr">
        <is>
          <t>Thiago Barros Cardoso</t>
        </is>
      </c>
      <c r="B11" s="45" t="n">
        <v>5400</v>
      </c>
      <c r="C11" s="30" t="inlineStr">
        <is>
          <t>Não</t>
        </is>
      </c>
      <c r="D11" s="45" t="n"/>
      <c r="E11" s="45">
        <f>IF($A11="","",IF($C11="Sim",MIN(ROUND($B11*0.06,2),N($D11)),0))</f>
        <v/>
      </c>
      <c r="F11" s="45">
        <f>IF($A11="","",IF($C11="Sim",MAX(N($D11)-$E11,0),0))</f>
        <v/>
      </c>
      <c r="G11" s="45" t="n">
        <v>750</v>
      </c>
      <c r="H11" s="30" t="inlineStr">
        <is>
          <t>Titular</t>
        </is>
      </c>
      <c r="I11" s="32" t="n">
        <v>0</v>
      </c>
      <c r="J11" s="30" t="inlineStr">
        <is>
          <t>Sim</t>
        </is>
      </c>
      <c r="K11" s="30" t="inlineStr">
        <is>
          <t>Concluída</t>
        </is>
      </c>
      <c r="L11" s="28">
        <f>IF($A11="","",IF(AND($C11="Sim",$D11=""),"Informar custo do VT",IF($K11="Pendente","Coletar documentos / assinaturas",IF(AND($H11="Titular + dependentes",N($I11)=0),"Informar nº de dependentes","OK"))))</f>
        <v/>
      </c>
      <c r="M11" s="28" t="n"/>
    </row>
    <row r="12" ht="18" customHeight="1">
      <c r="A12" s="28" t="inlineStr">
        <is>
          <t>Juliana Pereira Martins</t>
        </is>
      </c>
      <c r="B12" s="45" t="n">
        <v>2150</v>
      </c>
      <c r="C12" s="30" t="inlineStr">
        <is>
          <t>Sim</t>
        </is>
      </c>
      <c r="D12" s="45" t="n"/>
      <c r="E12" s="45">
        <f>IF($A12="","",IF($C12="Sim",MIN(ROUND($B12*0.06,2),N($D12)),0))</f>
        <v/>
      </c>
      <c r="F12" s="45">
        <f>IF($A12="","",IF($C12="Sim",MAX(N($D12)-$E12,0),0))</f>
        <v/>
      </c>
      <c r="G12" s="45" t="n">
        <v>750</v>
      </c>
      <c r="H12" s="30" t="inlineStr">
        <is>
          <t>Titular</t>
        </is>
      </c>
      <c r="I12" s="32" t="n">
        <v>0</v>
      </c>
      <c r="J12" s="30" t="inlineStr">
        <is>
          <t>Não</t>
        </is>
      </c>
      <c r="K12" s="30" t="inlineStr">
        <is>
          <t>Pendente</t>
        </is>
      </c>
      <c r="L12" s="28">
        <f>IF($A12="","",IF(AND($C12="Sim",$D12=""),"Informar custo do VT",IF($K12="Pendente","Coletar documentos / assinaturas",IF(AND($H12="Titular + dependentes",N($I12)=0),"Informar nº de dependentes","OK"))))</f>
        <v/>
      </c>
      <c r="M12" s="28" t="inlineStr">
        <is>
          <t>Início em 09/11; aguardando o itinerário casa–trabalho</t>
        </is>
      </c>
    </row>
    <row r="13" ht="18" customHeight="1">
      <c r="A13" s="28" t="n"/>
      <c r="B13" s="45" t="n"/>
      <c r="C13" s="30" t="n"/>
      <c r="D13" s="45" t="n"/>
      <c r="E13" s="45">
        <f>IF($A13="","",IF($C13="Sim",MIN(ROUND($B13*0.06,2),N($D13)),0))</f>
        <v/>
      </c>
      <c r="F13" s="45">
        <f>IF($A13="","",IF($C13="Sim",MAX(N($D13)-$E13,0),0))</f>
        <v/>
      </c>
      <c r="G13" s="45" t="n"/>
      <c r="H13" s="30" t="n"/>
      <c r="I13" s="32" t="n"/>
      <c r="J13" s="30" t="n"/>
      <c r="K13" s="30" t="n"/>
      <c r="L13" s="28">
        <f>IF($A13="","",IF(AND($C13="Sim",$D13=""),"Informar custo do VT",IF($K13="Pendente","Coletar documentos / assinaturas",IF(AND($H13="Titular + dependentes",N($I13)=0),"Informar nº de dependentes","OK"))))</f>
        <v/>
      </c>
      <c r="M13" s="28" t="n"/>
    </row>
    <row r="14" ht="18" customHeight="1">
      <c r="A14" s="28" t="n"/>
      <c r="B14" s="45" t="n"/>
      <c r="C14" s="30" t="n"/>
      <c r="D14" s="45" t="n"/>
      <c r="E14" s="45">
        <f>IF($A14="","",IF($C14="Sim",MIN(ROUND($B14*0.06,2),N($D14)),0))</f>
        <v/>
      </c>
      <c r="F14" s="45">
        <f>IF($A14="","",IF($C14="Sim",MAX(N($D14)-$E14,0),0))</f>
        <v/>
      </c>
      <c r="G14" s="45" t="n"/>
      <c r="H14" s="30" t="n"/>
      <c r="I14" s="32" t="n"/>
      <c r="J14" s="30" t="n"/>
      <c r="K14" s="30" t="n"/>
      <c r="L14" s="28">
        <f>IF($A14="","",IF(AND($C14="Sim",$D14=""),"Informar custo do VT",IF($K14="Pendente","Coletar documentos / assinaturas",IF(AND($H14="Titular + dependentes",N($I14)=0),"Informar nº de dependentes","OK"))))</f>
        <v/>
      </c>
      <c r="M14" s="28" t="n"/>
    </row>
    <row r="15" ht="18" customHeight="1">
      <c r="A15" s="28" t="n"/>
      <c r="B15" s="45" t="n"/>
      <c r="C15" s="30" t="n"/>
      <c r="D15" s="45" t="n"/>
      <c r="E15" s="45">
        <f>IF($A15="","",IF($C15="Sim",MIN(ROUND($B15*0.06,2),N($D15)),0))</f>
        <v/>
      </c>
      <c r="F15" s="45">
        <f>IF($A15="","",IF($C15="Sim",MAX(N($D15)-$E15,0),0))</f>
        <v/>
      </c>
      <c r="G15" s="45" t="n"/>
      <c r="H15" s="30" t="n"/>
      <c r="I15" s="32" t="n"/>
      <c r="J15" s="30" t="n"/>
      <c r="K15" s="30" t="n"/>
      <c r="L15" s="28">
        <f>IF($A15="","",IF(AND($C15="Sim",$D15=""),"Informar custo do VT",IF($K15="Pendente","Coletar documentos / assinaturas",IF(AND($H15="Titular + dependentes",N($I15)=0),"Informar nº de dependentes","OK"))))</f>
        <v/>
      </c>
      <c r="M15" s="28" t="n"/>
    </row>
    <row r="16" ht="18" customHeight="1">
      <c r="A16" s="28" t="n"/>
      <c r="B16" s="45" t="n"/>
      <c r="C16" s="30" t="n"/>
      <c r="D16" s="45" t="n"/>
      <c r="E16" s="45">
        <f>IF($A16="","",IF($C16="Sim",MIN(ROUND($B16*0.06,2),N($D16)),0))</f>
        <v/>
      </c>
      <c r="F16" s="45">
        <f>IF($A16="","",IF($C16="Sim",MAX(N($D16)-$E16,0),0))</f>
        <v/>
      </c>
      <c r="G16" s="45" t="n"/>
      <c r="H16" s="30" t="n"/>
      <c r="I16" s="32" t="n"/>
      <c r="J16" s="30" t="n"/>
      <c r="K16" s="30" t="n"/>
      <c r="L16" s="28">
        <f>IF($A16="","",IF(AND($C16="Sim",$D16=""),"Informar custo do VT",IF($K16="Pendente","Coletar documentos / assinaturas",IF(AND($H16="Titular + dependentes",N($I16)=0),"Informar nº de dependentes","OK"))))</f>
        <v/>
      </c>
      <c r="M16" s="28" t="n"/>
    </row>
    <row r="17" ht="18" customHeight="1">
      <c r="A17" s="28" t="n"/>
      <c r="B17" s="45" t="n"/>
      <c r="C17" s="30" t="n"/>
      <c r="D17" s="45" t="n"/>
      <c r="E17" s="45">
        <f>IF($A17="","",IF($C17="Sim",MIN(ROUND($B17*0.06,2),N($D17)),0))</f>
        <v/>
      </c>
      <c r="F17" s="45">
        <f>IF($A17="","",IF($C17="Sim",MAX(N($D17)-$E17,0),0))</f>
        <v/>
      </c>
      <c r="G17" s="45" t="n"/>
      <c r="H17" s="30" t="n"/>
      <c r="I17" s="32" t="n"/>
      <c r="J17" s="30" t="n"/>
      <c r="K17" s="30" t="n"/>
      <c r="L17" s="28">
        <f>IF($A17="","",IF(AND($C17="Sim",$D17=""),"Informar custo do VT",IF($K17="Pendente","Coletar documentos / assinaturas",IF(AND($H17="Titular + dependentes",N($I17)=0),"Informar nº de dependentes","OK"))))</f>
        <v/>
      </c>
      <c r="M17" s="28" t="n"/>
    </row>
    <row r="18" ht="18" customHeight="1">
      <c r="A18" s="28" t="n"/>
      <c r="B18" s="45" t="n"/>
      <c r="C18" s="30" t="n"/>
      <c r="D18" s="45" t="n"/>
      <c r="E18" s="45">
        <f>IF($A18="","",IF($C18="Sim",MIN(ROUND($B18*0.06,2),N($D18)),0))</f>
        <v/>
      </c>
      <c r="F18" s="45">
        <f>IF($A18="","",IF($C18="Sim",MAX(N($D18)-$E18,0),0))</f>
        <v/>
      </c>
      <c r="G18" s="45" t="n"/>
      <c r="H18" s="30" t="n"/>
      <c r="I18" s="32" t="n"/>
      <c r="J18" s="30" t="n"/>
      <c r="K18" s="30" t="n"/>
      <c r="L18" s="28">
        <f>IF($A18="","",IF(AND($C18="Sim",$D18=""),"Informar custo do VT",IF($K18="Pendente","Coletar documentos / assinaturas",IF(AND($H18="Titular + dependentes",N($I18)=0),"Informar nº de dependentes","OK"))))</f>
        <v/>
      </c>
      <c r="M18" s="28" t="n"/>
    </row>
    <row r="19" ht="18" customHeight="1">
      <c r="A19" s="28" t="n"/>
      <c r="B19" s="45" t="n"/>
      <c r="C19" s="30" t="n"/>
      <c r="D19" s="45" t="n"/>
      <c r="E19" s="45">
        <f>IF($A19="","",IF($C19="Sim",MIN(ROUND($B19*0.06,2),N($D19)),0))</f>
        <v/>
      </c>
      <c r="F19" s="45">
        <f>IF($A19="","",IF($C19="Sim",MAX(N($D19)-$E19,0),0))</f>
        <v/>
      </c>
      <c r="G19" s="45" t="n"/>
      <c r="H19" s="30" t="n"/>
      <c r="I19" s="32" t="n"/>
      <c r="J19" s="30" t="n"/>
      <c r="K19" s="30" t="n"/>
      <c r="L19" s="28">
        <f>IF($A19="","",IF(AND($C19="Sim",$D19=""),"Informar custo do VT",IF($K19="Pendente","Coletar documentos / assinaturas",IF(AND($H19="Titular + dependentes",N($I19)=0),"Informar nº de dependentes","OK"))))</f>
        <v/>
      </c>
      <c r="M19" s="28" t="n"/>
    </row>
    <row r="20" ht="18" customHeight="1">
      <c r="A20" s="28" t="n"/>
      <c r="B20" s="45" t="n"/>
      <c r="C20" s="30" t="n"/>
      <c r="D20" s="45" t="n"/>
      <c r="E20" s="45">
        <f>IF($A20="","",IF($C20="Sim",MIN(ROUND($B20*0.06,2),N($D20)),0))</f>
        <v/>
      </c>
      <c r="F20" s="45">
        <f>IF($A20="","",IF($C20="Sim",MAX(N($D20)-$E20,0),0))</f>
        <v/>
      </c>
      <c r="G20" s="45" t="n"/>
      <c r="H20" s="30" t="n"/>
      <c r="I20" s="32" t="n"/>
      <c r="J20" s="30" t="n"/>
      <c r="K20" s="30" t="n"/>
      <c r="L20" s="28">
        <f>IF($A20="","",IF(AND($C20="Sim",$D20=""),"Informar custo do VT",IF($K20="Pendente","Coletar documentos / assinaturas",IF(AND($H20="Titular + dependentes",N($I20)=0),"Informar nº de dependentes","OK"))))</f>
        <v/>
      </c>
      <c r="M20" s="28" t="n"/>
    </row>
    <row r="21" ht="18" customHeight="1">
      <c r="A21" s="28" t="n"/>
      <c r="B21" s="45" t="n"/>
      <c r="C21" s="30" t="n"/>
      <c r="D21" s="45" t="n"/>
      <c r="E21" s="45">
        <f>IF($A21="","",IF($C21="Sim",MIN(ROUND($B21*0.06,2),N($D21)),0))</f>
        <v/>
      </c>
      <c r="F21" s="45">
        <f>IF($A21="","",IF($C21="Sim",MAX(N($D21)-$E21,0),0))</f>
        <v/>
      </c>
      <c r="G21" s="45" t="n"/>
      <c r="H21" s="30" t="n"/>
      <c r="I21" s="32" t="n"/>
      <c r="J21" s="30" t="n"/>
      <c r="K21" s="30" t="n"/>
      <c r="L21" s="28">
        <f>IF($A21="","",IF(AND($C21="Sim",$D21=""),"Informar custo do VT",IF($K21="Pendente","Coletar documentos / assinaturas",IF(AND($H21="Titular + dependentes",N($I21)=0),"Informar nº de dependentes","OK"))))</f>
        <v/>
      </c>
      <c r="M21" s="28" t="n"/>
    </row>
    <row r="22" ht="18" customHeight="1">
      <c r="A22" s="28" t="n"/>
      <c r="B22" s="45" t="n"/>
      <c r="C22" s="30" t="n"/>
      <c r="D22" s="45" t="n"/>
      <c r="E22" s="45">
        <f>IF($A22="","",IF($C22="Sim",MIN(ROUND($B22*0.06,2),N($D22)),0))</f>
        <v/>
      </c>
      <c r="F22" s="45">
        <f>IF($A22="","",IF($C22="Sim",MAX(N($D22)-$E22,0),0))</f>
        <v/>
      </c>
      <c r="G22" s="45" t="n"/>
      <c r="H22" s="30" t="n"/>
      <c r="I22" s="32" t="n"/>
      <c r="J22" s="30" t="n"/>
      <c r="K22" s="30" t="n"/>
      <c r="L22" s="28">
        <f>IF($A22="","",IF(AND($C22="Sim",$D22=""),"Informar custo do VT",IF($K22="Pendente","Coletar documentos / assinaturas",IF(AND($H22="Titular + dependentes",N($I22)=0),"Informar nº de dependentes","OK"))))</f>
        <v/>
      </c>
      <c r="M22" s="28" t="n"/>
    </row>
    <row r="23" ht="18" customHeight="1">
      <c r="A23" s="28" t="n"/>
      <c r="B23" s="45" t="n"/>
      <c r="C23" s="30" t="n"/>
      <c r="D23" s="45" t="n"/>
      <c r="E23" s="45">
        <f>IF($A23="","",IF($C23="Sim",MIN(ROUND($B23*0.06,2),N($D23)),0))</f>
        <v/>
      </c>
      <c r="F23" s="45">
        <f>IF($A23="","",IF($C23="Sim",MAX(N($D23)-$E23,0),0))</f>
        <v/>
      </c>
      <c r="G23" s="45" t="n"/>
      <c r="H23" s="30" t="n"/>
      <c r="I23" s="32" t="n"/>
      <c r="J23" s="30" t="n"/>
      <c r="K23" s="30" t="n"/>
      <c r="L23" s="28">
        <f>IF($A23="","",IF(AND($C23="Sim",$D23=""),"Informar custo do VT",IF($K23="Pendente","Coletar documentos / assinaturas",IF(AND($H23="Titular + dependentes",N($I23)=0),"Informar nº de dependentes","OK"))))</f>
        <v/>
      </c>
      <c r="M23" s="28" t="n"/>
    </row>
    <row r="24" ht="18" customHeight="1">
      <c r="A24" s="28" t="n"/>
      <c r="B24" s="45" t="n"/>
      <c r="C24" s="30" t="n"/>
      <c r="D24" s="45" t="n"/>
      <c r="E24" s="45">
        <f>IF($A24="","",IF($C24="Sim",MIN(ROUND($B24*0.06,2),N($D24)),0))</f>
        <v/>
      </c>
      <c r="F24" s="45">
        <f>IF($A24="","",IF($C24="Sim",MAX(N($D24)-$E24,0),0))</f>
        <v/>
      </c>
      <c r="G24" s="45" t="n"/>
      <c r="H24" s="30" t="n"/>
      <c r="I24" s="32" t="n"/>
      <c r="J24" s="30" t="n"/>
      <c r="K24" s="30" t="n"/>
      <c r="L24" s="28">
        <f>IF($A24="","",IF(AND($C24="Sim",$D24=""),"Informar custo do VT",IF($K24="Pendente","Coletar documentos / assinaturas",IF(AND($H24="Titular + dependentes",N($I24)=0),"Informar nº de dependentes","OK"))))</f>
        <v/>
      </c>
      <c r="M24" s="28" t="n"/>
    </row>
    <row r="25" ht="18" customHeight="1">
      <c r="A25" s="28" t="n"/>
      <c r="B25" s="45" t="n"/>
      <c r="C25" s="30" t="n"/>
      <c r="D25" s="45" t="n"/>
      <c r="E25" s="45">
        <f>IF($A25="","",IF($C25="Sim",MIN(ROUND($B25*0.06,2),N($D25)),0))</f>
        <v/>
      </c>
      <c r="F25" s="45">
        <f>IF($A25="","",IF($C25="Sim",MAX(N($D25)-$E25,0),0))</f>
        <v/>
      </c>
      <c r="G25" s="45" t="n"/>
      <c r="H25" s="30" t="n"/>
      <c r="I25" s="32" t="n"/>
      <c r="J25" s="30" t="n"/>
      <c r="K25" s="30" t="n"/>
      <c r="L25" s="28">
        <f>IF($A25="","",IF(AND($C25="Sim",$D25=""),"Informar custo do VT",IF($K25="Pendente","Coletar documentos / assinaturas",IF(AND($H25="Titular + dependentes",N($I25)=0),"Informar nº de dependentes","OK"))))</f>
        <v/>
      </c>
      <c r="M25" s="28" t="n"/>
    </row>
    <row r="26">
      <c r="A26" s="46" t="inlineStr">
        <is>
          <t>Total (linhas visíveis)</t>
        </is>
      </c>
      <c r="B26" s="47">
        <f>SUBTOTAL(109,B6:B25)</f>
        <v/>
      </c>
      <c r="C26" s="13" t="n"/>
      <c r="D26" s="47">
        <f>SUBTOTAL(109,D6:D25)</f>
        <v/>
      </c>
      <c r="E26" s="47">
        <f>SUBTOTAL(109,E6:E25)</f>
        <v/>
      </c>
      <c r="F26" s="47">
        <f>SUBTOTAL(109,F6:F25)</f>
        <v/>
      </c>
      <c r="G26" s="47">
        <f>SUBTOTAL(109,G6:G25)</f>
        <v/>
      </c>
      <c r="H26" s="13" t="n"/>
      <c r="I26" s="13" t="n"/>
      <c r="J26" s="13" t="n"/>
      <c r="K26" s="13" t="n"/>
      <c r="L26" s="13" t="n"/>
      <c r="M26" s="13" t="n"/>
    </row>
    <row r="28" ht="20" customHeight="1">
      <c r="A28" s="33" t="inlineStr">
        <is>
          <t>Notas e referências legais</t>
        </is>
      </c>
    </row>
    <row r="29" ht="29" customHeight="1">
      <c r="A29" s="34" t="inlineStr">
        <is>
          <t>• Vale-transporte: o empregador custeia a parcela que exceder 6% do salário básico do empregado, excluídos adicionais e vantagens (Lei 7.418/1985, art. 4º, parágrafo único). Se o custo do VT for menor que 6%, desconta-se apenas o custo.</t>
        </is>
      </c>
    </row>
    <row r="30" ht="16.5" customHeight="1">
      <c r="A30" s="34" t="inlineStr">
        <is>
          <t>• Mantenha a declaração de opção pelo VT assinada (endereço e itinerário) e atualize-a sempre que houver mudança.</t>
        </is>
      </c>
    </row>
    <row r="31" ht="29" customHeight="1">
      <c r="A31" s="34" t="inlineStr">
        <is>
          <t>• Vale-alimentação/refeição, plano de saúde, seguro de vida e coparticipações dependem da política da empresa e da convenção coletiva (CCT) da categoria — confirme valores e regras antes de usar.</t>
        </is>
      </c>
    </row>
  </sheetData>
  <autoFilter ref="A5:M25"/>
  <mergeCells count="3">
    <mergeCell ref="A31:H31"/>
    <mergeCell ref="A30:H30"/>
    <mergeCell ref="A29:H29"/>
  </mergeCells>
  <conditionalFormatting sqref="L6:L25">
    <cfRule type="expression" priority="1" dxfId="2">
      <formula>$L6="OK"</formula>
    </cfRule>
    <cfRule type="expression" priority="2" dxfId="1">
      <formula>AND($L6&lt;&gt;"OK",$L6&lt;&gt;"")</formula>
    </cfRule>
  </conditionalFormatting>
  <conditionalFormatting sqref="K6:K25">
    <cfRule type="expression" priority="3" dxfId="3">
      <formula>$K6="Concluída"</formula>
    </cfRule>
    <cfRule type="expression" priority="4" dxfId="4">
      <formula>$K6="Pendente"</formula>
    </cfRule>
    <cfRule type="expression" priority="5" dxfId="5">
      <formula>$K6="Recusa assinada"</formula>
    </cfRule>
  </conditionalFormatting>
  <conditionalFormatting sqref="A6:M25">
    <cfRule type="expression" priority="6" dxfId="6">
      <formula>MOD(ROW(),2)=0</formula>
    </cfRule>
  </conditionalFormatting>
  <dataValidations count="4">
    <dataValidation sqref="C6:C25" showDropDown="0" showInputMessage="0" showErrorMessage="1" allowBlank="1" errorTitle="Valor inválido" error="Escolha um valor da lista." type="list">
      <formula1>"Sim,Não"</formula1>
    </dataValidation>
    <dataValidation sqref="H6:H25" showDropDown="0" showInputMessage="0" showErrorMessage="1" allowBlank="1" errorTitle="Valor inválido" error="Escolha um valor da lista." type="list">
      <formula1>"Titular,Titular + dependentes,Não aderiu"</formula1>
    </dataValidation>
    <dataValidation sqref="J6:J25" showDropDown="0" showInputMessage="0" showErrorMessage="1" allowBlank="1" errorTitle="Valor inválido" error="Escolha um valor da lista." type="list">
      <formula1>"Sim,Não"</formula1>
    </dataValidation>
    <dataValidation sqref="K6:K25" showDropDown="0" showInputMessage="0" showErrorMessage="1" allowBlank="1" errorTitle="Valor inválido" error="Escolha um valor da lista." type="list">
      <formula1>"Concluída,Pendente,Recusa assinada"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tabColor rgb="003346B0"/>
    <outlinePr summaryBelow="1" summaryRight="1"/>
    <pageSetUpPr fitToPage="1"/>
  </sheetPr>
  <dimension ref="A1:R32"/>
  <sheetViews>
    <sheetView tabSelected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2" customWidth="1" min="3" max="3"/>
    <col width="24" customWidth="1" min="4" max="4"/>
    <col width="23" customWidth="1" min="5" max="5"/>
    <col width="48" customWidth="1" min="6" max="6"/>
    <col width="9" customWidth="1" min="7" max="7"/>
    <col width="12" customWidth="1" min="8" max="8"/>
    <col width="12" customWidth="1" min="9" max="9"/>
    <col width="10" customWidth="1" min="10" max="10"/>
    <col width="16" customWidth="1" min="11" max="11"/>
    <col width="3" customWidth="1" min="12" max="12"/>
    <col width="23" customWidth="1" min="13" max="13"/>
    <col width="10" customWidth="1" min="14" max="14"/>
    <col width="11" customWidth="1" min="15" max="15"/>
    <col width="10" customWidth="1" min="16" max="16"/>
    <col width="11" customWidth="1" min="17" max="17"/>
    <col width="11" customWidth="1" min="18" max="18"/>
  </cols>
  <sheetData>
    <row r="1" ht="28" customHeight="1">
      <c r="A1" s="21" t="inlineStr">
        <is>
          <t>Atendimento a colaboradores e gestores — registro de chamados</t>
        </is>
      </c>
    </row>
    <row r="2" ht="16" customHeight="1">
      <c r="A2" s="2" t="inlineStr">
        <is>
          <t>Cada solicitação vira um chamado com prazo de SLA em dias úteis por categoria; o resumo ao lado mostra volume e % dentro do SLA.</t>
        </is>
      </c>
    </row>
    <row r="3" ht="18" customHeight="1">
      <c r="A3" s="22" t="inlineStr">
        <is>
          <t>Hoje:</t>
        </is>
      </c>
      <c r="B3" s="23">
        <f>TODAY()</f>
        <v/>
      </c>
      <c r="D3" s="24">
        <f>HYPERLINK("#'Início'!A1","← Voltar ao Início")</f>
        <v/>
      </c>
      <c r="M3" s="33" t="inlineStr">
        <is>
          <t>SLA por categoria e resumo</t>
        </is>
      </c>
    </row>
    <row r="4">
      <c r="A4" s="25" t="inlineStr">
        <is>
          <t>preencher</t>
        </is>
      </c>
      <c r="B4" s="25" t="inlineStr">
        <is>
          <t>preencher</t>
        </is>
      </c>
      <c r="C4" s="25" t="inlineStr">
        <is>
          <t>preencher</t>
        </is>
      </c>
      <c r="D4" s="25" t="inlineStr">
        <is>
          <t>preencher</t>
        </is>
      </c>
      <c r="E4" s="25" t="inlineStr">
        <is>
          <t>preencher</t>
        </is>
      </c>
      <c r="F4" s="25" t="inlineStr">
        <is>
          <t>preencher</t>
        </is>
      </c>
      <c r="G4" s="26" t="inlineStr">
        <is>
          <t>automático</t>
        </is>
      </c>
      <c r="H4" s="26" t="inlineStr">
        <is>
          <t>automático</t>
        </is>
      </c>
      <c r="I4" s="25" t="inlineStr">
        <is>
          <t>preencher</t>
        </is>
      </c>
      <c r="J4" s="26" t="inlineStr">
        <is>
          <t>automático</t>
        </is>
      </c>
      <c r="K4" s="26" t="inlineStr">
        <is>
          <t>automático</t>
        </is>
      </c>
      <c r="M4" s="25" t="inlineStr">
        <is>
          <t>preencher</t>
        </is>
      </c>
      <c r="N4" s="25" t="inlineStr">
        <is>
          <t>preencher</t>
        </is>
      </c>
      <c r="O4" s="26" t="inlineStr">
        <is>
          <t>automático</t>
        </is>
      </c>
      <c r="P4" s="26" t="inlineStr">
        <is>
          <t>automático</t>
        </is>
      </c>
      <c r="Q4" s="26" t="inlineStr">
        <is>
          <t>automático</t>
        </is>
      </c>
      <c r="R4" s="26" t="inlineStr">
        <is>
          <t>automático</t>
        </is>
      </c>
    </row>
    <row r="5" ht="45.5" customHeight="1">
      <c r="A5" s="27" t="inlineStr">
        <is>
          <t>Nº</t>
        </is>
      </c>
      <c r="B5" s="27" t="inlineStr">
        <is>
          <t>Data de abertura</t>
        </is>
      </c>
      <c r="C5" s="27" t="inlineStr">
        <is>
          <t>Solicitante</t>
        </is>
      </c>
      <c r="D5" s="27" t="inlineStr">
        <is>
          <t>Nome</t>
        </is>
      </c>
      <c r="E5" s="27" t="inlineStr">
        <is>
          <t>Categoria</t>
        </is>
      </c>
      <c r="F5" s="27" t="inlineStr">
        <is>
          <t>Descrição curta</t>
        </is>
      </c>
      <c r="G5" s="27" t="inlineStr">
        <is>
          <t>SLA (dias úteis)</t>
        </is>
      </c>
      <c r="H5" s="27" t="inlineStr">
        <is>
          <t>Prazo SLA</t>
        </is>
      </c>
      <c r="I5" s="27" t="inlineStr">
        <is>
          <t>Data de resolução</t>
        </is>
      </c>
      <c r="J5" s="27" t="inlineStr">
        <is>
          <t>Dentro do SLA?</t>
        </is>
      </c>
      <c r="K5" s="27" t="inlineStr">
        <is>
          <t>Status</t>
        </is>
      </c>
      <c r="M5" s="48" t="inlineStr">
        <is>
          <t>Categoria</t>
        </is>
      </c>
      <c r="N5" s="48" t="inlineStr">
        <is>
          <t>SLA (dias úteis)</t>
        </is>
      </c>
      <c r="O5" s="48" t="inlineStr">
        <is>
          <t>Chamados</t>
        </is>
      </c>
      <c r="P5" s="48" t="inlineStr">
        <is>
          <t>Em aberto</t>
        </is>
      </c>
      <c r="Q5" s="48" t="inlineStr">
        <is>
          <t>Resolvidos no SLA</t>
        </is>
      </c>
      <c r="R5" s="48" t="inlineStr">
        <is>
          <t>% dentro do SLA</t>
        </is>
      </c>
    </row>
    <row r="6" ht="18" customHeight="1">
      <c r="A6" s="30" t="inlineStr">
        <is>
          <t>AT-001</t>
        </is>
      </c>
      <c r="B6" s="29" t="n">
        <v>46296</v>
      </c>
      <c r="C6" s="30" t="inlineStr">
        <is>
          <t>Colaborador</t>
        </is>
      </c>
      <c r="D6" s="28" t="inlineStr">
        <is>
          <t>Carlos Eduardo Nunes</t>
        </is>
      </c>
      <c r="E6" s="28" t="inlineStr">
        <is>
          <t>Holerite/Folha</t>
        </is>
      </c>
      <c r="F6" s="28" t="inlineStr">
        <is>
          <t>Dúvida sobre desconto de coparticipação no holerite</t>
        </is>
      </c>
      <c r="G6" s="32">
        <f>IF(OR($A6="",$E6=""),"",IFERROR(INDEX($N$6:$N$12,MATCH($E6,$M$6:$M$12,0)),""))</f>
        <v/>
      </c>
      <c r="H6" s="29">
        <f>IF(OR($A6="",$B6="",$G6=""),"",WORKDAY($B6,$G6,Feriados))</f>
        <v/>
      </c>
      <c r="I6" s="29" t="n">
        <v>46297</v>
      </c>
      <c r="J6" s="30">
        <f>IF($H6="","",IF($I6&lt;&gt;"",IF($I6&lt;=$H6,"Sim","Não"),IF(TODAY()&gt;$H6,"Não","Em aberto")))</f>
        <v/>
      </c>
      <c r="K6" s="28">
        <f>IF($A6="","",IF($I6&lt;&gt;"","Resolvido",IF($H6="","Em aberto",IF($H6&lt;TODAY(),"SLA estourado",IF($H6=TODAY(),"Vence hoje","No prazo")))))</f>
        <v/>
      </c>
      <c r="M6" s="49" t="inlineStr">
        <is>
          <t>Ponto</t>
        </is>
      </c>
      <c r="N6" s="50" t="n">
        <v>2</v>
      </c>
      <c r="O6" s="50">
        <f>COUNTIFS($E$6:$E$25,$M6)</f>
        <v/>
      </c>
      <c r="P6" s="50">
        <f>COUNTIFS($E$6:$E$25,$M6,$K$6:$K$25,"&lt;&gt;Resolvido")</f>
        <v/>
      </c>
      <c r="Q6" s="50">
        <f>COUNTIFS($E$6:$E$25,$M6,$J$6:$J$25,"Sim")</f>
        <v/>
      </c>
      <c r="R6" s="51">
        <f>IFERROR($Q6/($Q6+COUNTIFS($E$6:$E$25,$M6,$J$6:$J$25,"Não")),"—")</f>
        <v/>
      </c>
    </row>
    <row r="7" ht="18" customHeight="1">
      <c r="A7" s="30" t="inlineStr">
        <is>
          <t>AT-002</t>
        </is>
      </c>
      <c r="B7" s="29" t="n">
        <v>46300</v>
      </c>
      <c r="C7" s="30" t="inlineStr">
        <is>
          <t>Gestor</t>
        </is>
      </c>
      <c r="D7" s="28" t="inlineStr">
        <is>
          <t>Thiago Barros Cardoso</t>
        </is>
      </c>
      <c r="E7" s="28" t="inlineStr">
        <is>
          <t>Férias</t>
        </is>
      </c>
      <c r="F7" s="28" t="inlineStr">
        <is>
          <t>Programação de férias da equipe comercial para dezembro</t>
        </is>
      </c>
      <c r="G7" s="32">
        <f>IF(OR($A7="",$E7=""),"",IFERROR(INDEX($N$6:$N$12,MATCH($E7,$M$6:$M$12,0)),""))</f>
        <v/>
      </c>
      <c r="H7" s="29">
        <f>IF(OR($A7="",$B7="",$G7=""),"",WORKDAY($B7,$G7,Feriados))</f>
        <v/>
      </c>
      <c r="I7" s="29" t="n">
        <v>46304</v>
      </c>
      <c r="J7" s="30">
        <f>IF($H7="","",IF($I7&lt;&gt;"",IF($I7&lt;=$H7,"Sim","Não"),IF(TODAY()&gt;$H7,"Não","Em aberto")))</f>
        <v/>
      </c>
      <c r="K7" s="28">
        <f>IF($A7="","",IF($I7&lt;&gt;"","Resolvido",IF($H7="","Em aberto",IF($H7&lt;TODAY(),"SLA estourado",IF($H7=TODAY(),"Vence hoje","No prazo")))))</f>
        <v/>
      </c>
      <c r="M7" s="49" t="inlineStr">
        <is>
          <t>Holerite/Folha</t>
        </is>
      </c>
      <c r="N7" s="50" t="n">
        <v>2</v>
      </c>
      <c r="O7" s="50">
        <f>COUNTIFS($E$6:$E$25,$M7)</f>
        <v/>
      </c>
      <c r="P7" s="50">
        <f>COUNTIFS($E$6:$E$25,$M7,$K$6:$K$25,"&lt;&gt;Resolvido")</f>
        <v/>
      </c>
      <c r="Q7" s="50">
        <f>COUNTIFS($E$6:$E$25,$M7,$J$6:$J$25,"Sim")</f>
        <v/>
      </c>
      <c r="R7" s="51">
        <f>IFERROR($Q7/($Q7+COUNTIFS($E$6:$E$25,$M7,$J$6:$J$25,"Não")),"—")</f>
        <v/>
      </c>
    </row>
    <row r="8" ht="18" customHeight="1">
      <c r="A8" s="30" t="inlineStr">
        <is>
          <t>AT-003</t>
        </is>
      </c>
      <c r="B8" s="29" t="n">
        <v>46303</v>
      </c>
      <c r="C8" s="30" t="inlineStr">
        <is>
          <t>Colaborador</t>
        </is>
      </c>
      <c r="D8" s="28" t="inlineStr">
        <is>
          <t>Patrícia Lopes Barbosa</t>
        </is>
      </c>
      <c r="E8" s="28" t="inlineStr">
        <is>
          <t>Ponto</t>
        </is>
      </c>
      <c r="F8" s="28" t="inlineStr">
        <is>
          <t>Marcação esquecida na saída do dia 07/10</t>
        </is>
      </c>
      <c r="G8" s="32">
        <f>IF(OR($A8="",$E8=""),"",IFERROR(INDEX($N$6:$N$12,MATCH($E8,$M$6:$M$12,0)),""))</f>
        <v/>
      </c>
      <c r="H8" s="29">
        <f>IF(OR($A8="",$B8="",$G8=""),"",WORKDAY($B8,$G8,Feriados))</f>
        <v/>
      </c>
      <c r="I8" s="29" t="n">
        <v>46304</v>
      </c>
      <c r="J8" s="30">
        <f>IF($H8="","",IF($I8&lt;&gt;"",IF($I8&lt;=$H8,"Sim","Não"),IF(TODAY()&gt;$H8,"Não","Em aberto")))</f>
        <v/>
      </c>
      <c r="K8" s="28">
        <f>IF($A8="","",IF($I8&lt;&gt;"","Resolvido",IF($H8="","Em aberto",IF($H8&lt;TODAY(),"SLA estourado",IF($H8=TODAY(),"Vence hoje","No prazo")))))</f>
        <v/>
      </c>
      <c r="M8" s="49" t="inlineStr">
        <is>
          <t>Férias</t>
        </is>
      </c>
      <c r="N8" s="50" t="n">
        <v>3</v>
      </c>
      <c r="O8" s="50">
        <f>COUNTIFS($E$6:$E$25,$M8)</f>
        <v/>
      </c>
      <c r="P8" s="50">
        <f>COUNTIFS($E$6:$E$25,$M8,$K$6:$K$25,"&lt;&gt;Resolvido")</f>
        <v/>
      </c>
      <c r="Q8" s="50">
        <f>COUNTIFS($E$6:$E$25,$M8,$J$6:$J$25,"Sim")</f>
        <v/>
      </c>
      <c r="R8" s="51">
        <f>IFERROR($Q8/($Q8+COUNTIFS($E$6:$E$25,$M8,$J$6:$J$25,"Não")),"—")</f>
        <v/>
      </c>
    </row>
    <row r="9" ht="18" customHeight="1">
      <c r="A9" s="30" t="inlineStr">
        <is>
          <t>AT-004</t>
        </is>
      </c>
      <c r="B9" s="29" t="n">
        <v>46308</v>
      </c>
      <c r="C9" s="30" t="inlineStr">
        <is>
          <t>Colaborador</t>
        </is>
      </c>
      <c r="D9" s="28" t="inlineStr">
        <is>
          <t>Diego Fernandes Araújo</t>
        </is>
      </c>
      <c r="E9" s="28" t="inlineStr">
        <is>
          <t>Documentos/Declarações</t>
        </is>
      </c>
      <c r="F9" s="28" t="inlineStr">
        <is>
          <t>Declaração de vínculo para financiamento</t>
        </is>
      </c>
      <c r="G9" s="32">
        <f>IF(OR($A9="",$E9=""),"",IFERROR(INDEX($N$6:$N$12,MATCH($E9,$M$6:$M$12,0)),""))</f>
        <v/>
      </c>
      <c r="H9" s="29">
        <f>IF(OR($A9="",$B9="",$G9=""),"",WORKDAY($B9,$G9,Feriados))</f>
        <v/>
      </c>
      <c r="I9" s="29" t="n">
        <v>46309</v>
      </c>
      <c r="J9" s="30">
        <f>IF($H9="","",IF($I9&lt;&gt;"",IF($I9&lt;=$H9,"Sim","Não"),IF(TODAY()&gt;$H9,"Não","Em aberto")))</f>
        <v/>
      </c>
      <c r="K9" s="28">
        <f>IF($A9="","",IF($I9&lt;&gt;"","Resolvido",IF($H9="","Em aberto",IF($H9&lt;TODAY(),"SLA estourado",IF($H9=TODAY(),"Vence hoje","No prazo")))))</f>
        <v/>
      </c>
      <c r="M9" s="49" t="inlineStr">
        <is>
          <t>Benefícios</t>
        </is>
      </c>
      <c r="N9" s="50" t="n">
        <v>3</v>
      </c>
      <c r="O9" s="50">
        <f>COUNTIFS($E$6:$E$25,$M9)</f>
        <v/>
      </c>
      <c r="P9" s="50">
        <f>COUNTIFS($E$6:$E$25,$M9,$K$6:$K$25,"&lt;&gt;Resolvido")</f>
        <v/>
      </c>
      <c r="Q9" s="50">
        <f>COUNTIFS($E$6:$E$25,$M9,$J$6:$J$25,"Sim")</f>
        <v/>
      </c>
      <c r="R9" s="51">
        <f>IFERROR($Q9/($Q9+COUNTIFS($E$6:$E$25,$M9,$J$6:$J$25,"Não")),"—")</f>
        <v/>
      </c>
    </row>
    <row r="10" ht="18" customHeight="1">
      <c r="A10" s="30" t="inlineStr">
        <is>
          <t>AT-005</t>
        </is>
      </c>
      <c r="B10" s="29" t="n">
        <v>46310</v>
      </c>
      <c r="C10" s="30" t="inlineStr">
        <is>
          <t>Colaborador</t>
        </is>
      </c>
      <c r="D10" s="28" t="inlineStr">
        <is>
          <t>Rodrigo Teixeira Dias</t>
        </is>
      </c>
      <c r="E10" s="28" t="inlineStr">
        <is>
          <t>Benefícios</t>
        </is>
      </c>
      <c r="F10" s="28" t="inlineStr">
        <is>
          <t>Inclusão de dependente no plano de saúde</t>
        </is>
      </c>
      <c r="G10" s="32">
        <f>IF(OR($A10="",$E10=""),"",IFERROR(INDEX($N$6:$N$12,MATCH($E10,$M$6:$M$12,0)),""))</f>
        <v/>
      </c>
      <c r="H10" s="29">
        <f>IF(OR($A10="",$B10="",$G10=""),"",WORKDAY($B10,$G10,Feriados))</f>
        <v/>
      </c>
      <c r="I10" s="29" t="n"/>
      <c r="J10" s="30">
        <f>IF($H10="","",IF($I10&lt;&gt;"",IF($I10&lt;=$H10,"Sim","Não"),IF(TODAY()&gt;$H10,"Não","Em aberto")))</f>
        <v/>
      </c>
      <c r="K10" s="28">
        <f>IF($A10="","",IF($I10&lt;&gt;"","Resolvido",IF($H10="","Em aberto",IF($H10&lt;TODAY(),"SLA estourado",IF($H10=TODAY(),"Vence hoje","No prazo")))))</f>
        <v/>
      </c>
      <c r="M10" s="49" t="inlineStr">
        <is>
          <t>Documentos/Declarações</t>
        </is>
      </c>
      <c r="N10" s="50" t="n">
        <v>2</v>
      </c>
      <c r="O10" s="50">
        <f>COUNTIFS($E$6:$E$25,$M10)</f>
        <v/>
      </c>
      <c r="P10" s="50">
        <f>COUNTIFS($E$6:$E$25,$M10,$K$6:$K$25,"&lt;&gt;Resolvido")</f>
        <v/>
      </c>
      <c r="Q10" s="50">
        <f>COUNTIFS($E$6:$E$25,$M10,$J$6:$J$25,"Sim")</f>
        <v/>
      </c>
      <c r="R10" s="51">
        <f>IFERROR($Q10/($Q10+COUNTIFS($E$6:$E$25,$M10,$J$6:$J$25,"Não")),"—")</f>
        <v/>
      </c>
    </row>
    <row r="11" ht="18" customHeight="1">
      <c r="A11" s="30" t="inlineStr">
        <is>
          <t>AT-006</t>
        </is>
      </c>
      <c r="B11" s="29" t="n">
        <v>46314</v>
      </c>
      <c r="C11" s="30" t="inlineStr">
        <is>
          <t>Gestor</t>
        </is>
      </c>
      <c r="D11" s="28" t="inlineStr">
        <is>
          <t>Aline Moreira Castro</t>
        </is>
      </c>
      <c r="E11" s="28" t="inlineStr">
        <is>
          <t>Afastamentos</t>
        </is>
      </c>
      <c r="F11" s="28" t="inlineStr">
        <is>
          <t>Orientação sobre atestado de colaborador da equipe</t>
        </is>
      </c>
      <c r="G11" s="32">
        <f>IF(OR($A11="",$E11=""),"",IFERROR(INDEX($N$6:$N$12,MATCH($E11,$M$6:$M$12,0)),""))</f>
        <v/>
      </c>
      <c r="H11" s="29">
        <f>IF(OR($A11="",$B11="",$G11=""),"",WORKDAY($B11,$G11,Feriados))</f>
        <v/>
      </c>
      <c r="I11" s="29" t="n">
        <v>46314</v>
      </c>
      <c r="J11" s="30">
        <f>IF($H11="","",IF($I11&lt;&gt;"",IF($I11&lt;=$H11,"Sim","Não"),IF(TODAY()&gt;$H11,"Não","Em aberto")))</f>
        <v/>
      </c>
      <c r="K11" s="28">
        <f>IF($A11="","",IF($I11&lt;&gt;"","Resolvido",IF($H11="","Em aberto",IF($H11&lt;TODAY(),"SLA estourado",IF($H11=TODAY(),"Vence hoje","No prazo")))))</f>
        <v/>
      </c>
      <c r="M11" s="49" t="inlineStr">
        <is>
          <t>Afastamentos</t>
        </is>
      </c>
      <c r="N11" s="50" t="n">
        <v>1</v>
      </c>
      <c r="O11" s="50">
        <f>COUNTIFS($E$6:$E$25,$M11)</f>
        <v/>
      </c>
      <c r="P11" s="50">
        <f>COUNTIFS($E$6:$E$25,$M11,$K$6:$K$25,"&lt;&gt;Resolvido")</f>
        <v/>
      </c>
      <c r="Q11" s="50">
        <f>COUNTIFS($E$6:$E$25,$M11,$J$6:$J$25,"Sim")</f>
        <v/>
      </c>
      <c r="R11" s="51">
        <f>IFERROR($Q11/($Q11+COUNTIFS($E$6:$E$25,$M11,$J$6:$J$25,"Não")),"—")</f>
        <v/>
      </c>
    </row>
    <row r="12" ht="18" customHeight="1">
      <c r="A12" s="30" t="inlineStr">
        <is>
          <t>AT-007</t>
        </is>
      </c>
      <c r="B12" s="29" t="n">
        <v>46315</v>
      </c>
      <c r="C12" s="30" t="inlineStr">
        <is>
          <t>Colaborador</t>
        </is>
      </c>
      <c r="D12" s="28" t="inlineStr">
        <is>
          <t>Mariana Costa Ribeiro</t>
        </is>
      </c>
      <c r="E12" s="28" t="inlineStr">
        <is>
          <t>Benefícios</t>
        </is>
      </c>
      <c r="F12" s="28" t="inlineStr">
        <is>
          <t>Cartão do vale-alimentação ainda não recebido</t>
        </is>
      </c>
      <c r="G12" s="32">
        <f>IF(OR($A12="",$E12=""),"",IFERROR(INDEX($N$6:$N$12,MATCH($E12,$M$6:$M$12,0)),""))</f>
        <v/>
      </c>
      <c r="H12" s="29">
        <f>IF(OR($A12="",$B12="",$G12=""),"",WORKDAY($B12,$G12,Feriados))</f>
        <v/>
      </c>
      <c r="I12" s="29" t="n"/>
      <c r="J12" s="30">
        <f>IF($H12="","",IF($I12&lt;&gt;"",IF($I12&lt;=$H12,"Sim","Não"),IF(TODAY()&gt;$H12,"Não","Em aberto")))</f>
        <v/>
      </c>
      <c r="K12" s="28">
        <f>IF($A12="","",IF($I12&lt;&gt;"","Resolvido",IF($H12="","Em aberto",IF($H12&lt;TODAY(),"SLA estourado",IF($H12=TODAY(),"Vence hoje","No prazo")))))</f>
        <v/>
      </c>
      <c r="M12" s="49" t="inlineStr">
        <is>
          <t>Outros</t>
        </is>
      </c>
      <c r="N12" s="50" t="n">
        <v>5</v>
      </c>
      <c r="O12" s="50">
        <f>COUNTIFS($E$6:$E$25,$M12)</f>
        <v/>
      </c>
      <c r="P12" s="50">
        <f>COUNTIFS($E$6:$E$25,$M12,$K$6:$K$25,"&lt;&gt;Resolvido")</f>
        <v/>
      </c>
      <c r="Q12" s="50">
        <f>COUNTIFS($E$6:$E$25,$M12,$J$6:$J$25,"Sim")</f>
        <v/>
      </c>
      <c r="R12" s="51">
        <f>IFERROR($Q12/($Q12+COUNTIFS($E$6:$E$25,$M12,$J$6:$J$25,"Não")),"—")</f>
        <v/>
      </c>
    </row>
    <row r="13" ht="18" customHeight="1">
      <c r="A13" s="30" t="inlineStr">
        <is>
          <t>AT-008</t>
        </is>
      </c>
      <c r="B13" s="29" t="n">
        <v>46316</v>
      </c>
      <c r="C13" s="30" t="inlineStr">
        <is>
          <t>Colaborador</t>
        </is>
      </c>
      <c r="D13" s="28" t="inlineStr">
        <is>
          <t>André Luiz Batista</t>
        </is>
      </c>
      <c r="E13" s="28" t="inlineStr">
        <is>
          <t>Afastamentos</t>
        </is>
      </c>
      <c r="F13" s="28" t="inlineStr">
        <is>
          <t>Envio de atestado médico de 5 dias</t>
        </is>
      </c>
      <c r="G13" s="32">
        <f>IF(OR($A13="",$E13=""),"",IFERROR(INDEX($N$6:$N$12,MATCH($E13,$M$6:$M$12,0)),""))</f>
        <v/>
      </c>
      <c r="H13" s="29">
        <f>IF(OR($A13="",$B13="",$G13=""),"",WORKDAY($B13,$G13,Feriados))</f>
        <v/>
      </c>
      <c r="I13" s="29" t="n"/>
      <c r="J13" s="30">
        <f>IF($H13="","",IF($I13&lt;&gt;"",IF($I13&lt;=$H13,"Sim","Não"),IF(TODAY()&gt;$H13,"Não","Em aberto")))</f>
        <v/>
      </c>
      <c r="K13" s="28">
        <f>IF($A13="","",IF($I13&lt;&gt;"","Resolvido",IF($H13="","Em aberto",IF($H13&lt;TODAY(),"SLA estourado",IF($H13=TODAY(),"Vence hoje","No prazo")))))</f>
        <v/>
      </c>
      <c r="M13" s="52" t="inlineStr">
        <is>
          <t>Total</t>
        </is>
      </c>
      <c r="N13" s="53" t="n"/>
      <c r="O13" s="53">
        <f>SUM(O6:O12)</f>
        <v/>
      </c>
      <c r="P13" s="53">
        <f>SUM(P6:P12)</f>
        <v/>
      </c>
      <c r="Q13" s="53">
        <f>SUM(Q6:Q12)</f>
        <v/>
      </c>
      <c r="R13" s="54">
        <f>IFERROR(COUNTIF($J$6:$J$25,"Sim")/(COUNTIF($J$6:$J$25,"Sim")+COUNTIF($J$6:$J$25,"Não")),"—")</f>
        <v/>
      </c>
    </row>
    <row r="14" ht="18" customHeight="1">
      <c r="A14" s="30" t="inlineStr">
        <is>
          <t>AT-009</t>
        </is>
      </c>
      <c r="B14" s="29" t="n">
        <v>46317</v>
      </c>
      <c r="C14" s="30" t="inlineStr">
        <is>
          <t>Gestor</t>
        </is>
      </c>
      <c r="D14" s="28" t="inlineStr">
        <is>
          <t>Gabriel Martins Rocha</t>
        </is>
      </c>
      <c r="E14" s="28" t="inlineStr">
        <is>
          <t>Outros</t>
        </is>
      </c>
      <c r="F14" s="28" t="inlineStr">
        <is>
          <t>Abertura de vaga para auxiliar de logística</t>
        </is>
      </c>
      <c r="G14" s="32">
        <f>IF(OR($A14="",$E14=""),"",IFERROR(INDEX($N$6:$N$12,MATCH($E14,$M$6:$M$12,0)),""))</f>
        <v/>
      </c>
      <c r="H14" s="29">
        <f>IF(OR($A14="",$B14="",$G14=""),"",WORKDAY($B14,$G14,Feriados))</f>
        <v/>
      </c>
      <c r="I14" s="29" t="n"/>
      <c r="J14" s="30">
        <f>IF($H14="","",IF($I14&lt;&gt;"",IF($I14&lt;=$H14,"Sim","Não"),IF(TODAY()&gt;$H14,"Não","Em aberto")))</f>
        <v/>
      </c>
      <c r="K14" s="28">
        <f>IF($A14="","",IF($I14&lt;&gt;"","Resolvido",IF($H14="","Em aberto",IF($H14&lt;TODAY(),"SLA estourado",IF($H14=TODAY(),"Vence hoje","No prazo")))))</f>
        <v/>
      </c>
    </row>
    <row r="15" ht="18" customHeight="1">
      <c r="A15" s="30" t="inlineStr">
        <is>
          <t>AT-010</t>
        </is>
      </c>
      <c r="B15" s="29" t="n">
        <v>46317</v>
      </c>
      <c r="C15" s="30" t="inlineStr">
        <is>
          <t>Colaborador</t>
        </is>
      </c>
      <c r="D15" s="28" t="inlineStr">
        <is>
          <t>Vanessa Ramos Pinto</t>
        </is>
      </c>
      <c r="E15" s="28" t="inlineStr">
        <is>
          <t>Holerite/Folha</t>
        </is>
      </c>
      <c r="F15" s="28" t="inlineStr">
        <is>
          <t>Dúvida sobre os valores da rescisão</t>
        </is>
      </c>
      <c r="G15" s="32">
        <f>IF(OR($A15="",$E15=""),"",IFERROR(INDEX($N$6:$N$12,MATCH($E15,$M$6:$M$12,0)),""))</f>
        <v/>
      </c>
      <c r="H15" s="29">
        <f>IF(OR($A15="",$B15="",$G15=""),"",WORKDAY($B15,$G15,Feriados))</f>
        <v/>
      </c>
      <c r="I15" s="29" t="n"/>
      <c r="J15" s="30">
        <f>IF($H15="","",IF($I15&lt;&gt;"",IF($I15&lt;=$H15,"Sim","Não"),IF(TODAY()&gt;$H15,"Não","Em aberto")))</f>
        <v/>
      </c>
      <c r="K15" s="28">
        <f>IF($A15="","",IF($I15&lt;&gt;"","Resolvido",IF($H15="","Em aberto",IF($H15&lt;TODAY(),"SLA estourado",IF($H15=TODAY(),"Vence hoje","No prazo")))))</f>
        <v/>
      </c>
    </row>
    <row r="16" ht="18" customHeight="1">
      <c r="A16" s="30" t="n"/>
      <c r="B16" s="29" t="n"/>
      <c r="C16" s="30" t="n"/>
      <c r="D16" s="28" t="n"/>
      <c r="E16" s="28" t="n"/>
      <c r="F16" s="28" t="n"/>
      <c r="G16" s="32">
        <f>IF(OR($A16="",$E16=""),"",IFERROR(INDEX($N$6:$N$12,MATCH($E16,$M$6:$M$12,0)),""))</f>
        <v/>
      </c>
      <c r="H16" s="29">
        <f>IF(OR($A16="",$B16="",$G16=""),"",WORKDAY($B16,$G16,Feriados))</f>
        <v/>
      </c>
      <c r="I16" s="29" t="n"/>
      <c r="J16" s="30">
        <f>IF($H16="","",IF($I16&lt;&gt;"",IF($I16&lt;=$H16,"Sim","Não"),IF(TODAY()&gt;$H16,"Não","Em aberto")))</f>
        <v/>
      </c>
      <c r="K16" s="28">
        <f>IF($A16="","",IF($I16&lt;&gt;"","Resolvido",IF($H16="","Em aberto",IF($H16&lt;TODAY(),"SLA estourado",IF($H16=TODAY(),"Vence hoje","No prazo")))))</f>
        <v/>
      </c>
      <c r="M16" s="33" t="inlineStr">
        <is>
          <t>Feriados considerados nos prazos</t>
        </is>
      </c>
    </row>
    <row r="17" ht="18" customHeight="1">
      <c r="A17" s="30" t="n"/>
      <c r="B17" s="29" t="n"/>
      <c r="C17" s="30" t="n"/>
      <c r="D17" s="28" t="n"/>
      <c r="E17" s="28" t="n"/>
      <c r="F17" s="28" t="n"/>
      <c r="G17" s="32">
        <f>IF(OR($A17="",$E17=""),"",IFERROR(INDEX($N$6:$N$12,MATCH($E17,$M$6:$M$12,0)),""))</f>
        <v/>
      </c>
      <c r="H17" s="29">
        <f>IF(OR($A17="",$B17="",$G17=""),"",WORKDAY($B17,$G17,Feriados))</f>
        <v/>
      </c>
      <c r="I17" s="29" t="n"/>
      <c r="J17" s="30">
        <f>IF($H17="","",IF($I17&lt;&gt;"",IF($I17&lt;=$H17,"Sim","Não"),IF(TODAY()&gt;$H17,"Não","Em aberto")))</f>
        <v/>
      </c>
      <c r="K17" s="28">
        <f>IF($A17="","",IF($I17&lt;&gt;"","Resolvido",IF($H17="","Em aberto",IF($H17&lt;TODAY(),"SLA estourado",IF($H17=TODAY(),"Vence hoje","No prazo")))))</f>
        <v/>
      </c>
      <c r="M17" s="8" t="inlineStr">
        <is>
          <t>Data</t>
        </is>
      </c>
      <c r="N17" s="8" t="inlineStr">
        <is>
          <t>Feriado</t>
        </is>
      </c>
    </row>
    <row r="18" ht="18" customHeight="1">
      <c r="A18" s="30" t="n"/>
      <c r="B18" s="29" t="n"/>
      <c r="C18" s="30" t="n"/>
      <c r="D18" s="28" t="n"/>
      <c r="E18" s="28" t="n"/>
      <c r="F18" s="28" t="n"/>
      <c r="G18" s="32">
        <f>IF(OR($A18="",$E18=""),"",IFERROR(INDEX($N$6:$N$12,MATCH($E18,$M$6:$M$12,0)),""))</f>
        <v/>
      </c>
      <c r="H18" s="29">
        <f>IF(OR($A18="",$B18="",$G18=""),"",WORKDAY($B18,$G18,Feriados))</f>
        <v/>
      </c>
      <c r="I18" s="29" t="n"/>
      <c r="J18" s="30">
        <f>IF($H18="","",IF($I18&lt;&gt;"",IF($I18&lt;=$H18,"Sim","Não"),IF(TODAY()&gt;$H18,"Não","Em aberto")))</f>
        <v/>
      </c>
      <c r="K18" s="28">
        <f>IF($A18="","",IF($I18&lt;&gt;"","Resolvido",IF($H18="","Em aberto",IF($H18&lt;TODAY(),"SLA estourado",IF($H18=TODAY(),"Vence hoje","No prazo")))))</f>
        <v/>
      </c>
      <c r="M18" s="55" t="n">
        <v>46023</v>
      </c>
      <c r="N18" s="56" t="inlineStr">
        <is>
          <t>Confraternização Universal</t>
        </is>
      </c>
    </row>
    <row r="19" ht="18" customHeight="1">
      <c r="A19" s="30" t="n"/>
      <c r="B19" s="29" t="n"/>
      <c r="C19" s="30" t="n"/>
      <c r="D19" s="28" t="n"/>
      <c r="E19" s="28" t="n"/>
      <c r="F19" s="28" t="n"/>
      <c r="G19" s="32">
        <f>IF(OR($A19="",$E19=""),"",IFERROR(INDEX($N$6:$N$12,MATCH($E19,$M$6:$M$12,0)),""))</f>
        <v/>
      </c>
      <c r="H19" s="29">
        <f>IF(OR($A19="",$B19="",$G19=""),"",WORKDAY($B19,$G19,Feriados))</f>
        <v/>
      </c>
      <c r="I19" s="29" t="n"/>
      <c r="J19" s="30">
        <f>IF($H19="","",IF($I19&lt;&gt;"",IF($I19&lt;=$H19,"Sim","Não"),IF(TODAY()&gt;$H19,"Não","Em aberto")))</f>
        <v/>
      </c>
      <c r="K19" s="28">
        <f>IF($A19="","",IF($I19&lt;&gt;"","Resolvido",IF($H19="","Em aberto",IF($H19&lt;TODAY(),"SLA estourado",IF($H19=TODAY(),"Vence hoje","No prazo")))))</f>
        <v/>
      </c>
      <c r="M19" s="55" t="n">
        <v>46133</v>
      </c>
      <c r="N19" s="56" t="inlineStr">
        <is>
          <t>Tiradentes</t>
        </is>
      </c>
    </row>
    <row r="20" ht="18" customHeight="1">
      <c r="A20" s="30" t="n"/>
      <c r="B20" s="29" t="n"/>
      <c r="C20" s="30" t="n"/>
      <c r="D20" s="28" t="n"/>
      <c r="E20" s="28" t="n"/>
      <c r="F20" s="28" t="n"/>
      <c r="G20" s="32">
        <f>IF(OR($A20="",$E20=""),"",IFERROR(INDEX($N$6:$N$12,MATCH($E20,$M$6:$M$12,0)),""))</f>
        <v/>
      </c>
      <c r="H20" s="29">
        <f>IF(OR($A20="",$B20="",$G20=""),"",WORKDAY($B20,$G20,Feriados))</f>
        <v/>
      </c>
      <c r="I20" s="29" t="n"/>
      <c r="J20" s="30">
        <f>IF($H20="","",IF($I20&lt;&gt;"",IF($I20&lt;=$H20,"Sim","Não"),IF(TODAY()&gt;$H20,"Não","Em aberto")))</f>
        <v/>
      </c>
      <c r="K20" s="28">
        <f>IF($A20="","",IF($I20&lt;&gt;"","Resolvido",IF($H20="","Em aberto",IF($H20&lt;TODAY(),"SLA estourado",IF($H20=TODAY(),"Vence hoje","No prazo")))))</f>
        <v/>
      </c>
      <c r="M20" s="55" t="n">
        <v>46143</v>
      </c>
      <c r="N20" s="56" t="inlineStr">
        <is>
          <t>Dia do Trabalho</t>
        </is>
      </c>
    </row>
    <row r="21" ht="18" customHeight="1">
      <c r="A21" s="30" t="n"/>
      <c r="B21" s="29" t="n"/>
      <c r="C21" s="30" t="n"/>
      <c r="D21" s="28" t="n"/>
      <c r="E21" s="28" t="n"/>
      <c r="F21" s="28" t="n"/>
      <c r="G21" s="32">
        <f>IF(OR($A21="",$E21=""),"",IFERROR(INDEX($N$6:$N$12,MATCH($E21,$M$6:$M$12,0)),""))</f>
        <v/>
      </c>
      <c r="H21" s="29">
        <f>IF(OR($A21="",$B21="",$G21=""),"",WORKDAY($B21,$G21,Feriados))</f>
        <v/>
      </c>
      <c r="I21" s="29" t="n"/>
      <c r="J21" s="30">
        <f>IF($H21="","",IF($I21&lt;&gt;"",IF($I21&lt;=$H21,"Sim","Não"),IF(TODAY()&gt;$H21,"Não","Em aberto")))</f>
        <v/>
      </c>
      <c r="K21" s="28">
        <f>IF($A21="","",IF($I21&lt;&gt;"","Resolvido",IF($H21="","Em aberto",IF($H21&lt;TODAY(),"SLA estourado",IF($H21=TODAY(),"Vence hoje","No prazo")))))</f>
        <v/>
      </c>
      <c r="M21" s="55" t="n">
        <v>46272</v>
      </c>
      <c r="N21" s="56" t="inlineStr">
        <is>
          <t>Independência do Brasil</t>
        </is>
      </c>
    </row>
    <row r="22" ht="18" customHeight="1">
      <c r="A22" s="30" t="n"/>
      <c r="B22" s="29" t="n"/>
      <c r="C22" s="30" t="n"/>
      <c r="D22" s="28" t="n"/>
      <c r="E22" s="28" t="n"/>
      <c r="F22" s="28" t="n"/>
      <c r="G22" s="32">
        <f>IF(OR($A22="",$E22=""),"",IFERROR(INDEX($N$6:$N$12,MATCH($E22,$M$6:$M$12,0)),""))</f>
        <v/>
      </c>
      <c r="H22" s="29">
        <f>IF(OR($A22="",$B22="",$G22=""),"",WORKDAY($B22,$G22,Feriados))</f>
        <v/>
      </c>
      <c r="I22" s="29" t="n"/>
      <c r="J22" s="30">
        <f>IF($H22="","",IF($I22&lt;&gt;"",IF($I22&lt;=$H22,"Sim","Não"),IF(TODAY()&gt;$H22,"Não","Em aberto")))</f>
        <v/>
      </c>
      <c r="K22" s="28">
        <f>IF($A22="","",IF($I22&lt;&gt;"","Resolvido",IF($H22="","Em aberto",IF($H22&lt;TODAY(),"SLA estourado",IF($H22=TODAY(),"Vence hoje","No prazo")))))</f>
        <v/>
      </c>
      <c r="M22" s="55" t="n">
        <v>46307</v>
      </c>
      <c r="N22" s="56" t="inlineStr">
        <is>
          <t>Nossa Senhora Aparecida</t>
        </is>
      </c>
    </row>
    <row r="23" ht="18" customHeight="1">
      <c r="A23" s="30" t="n"/>
      <c r="B23" s="29" t="n"/>
      <c r="C23" s="30" t="n"/>
      <c r="D23" s="28" t="n"/>
      <c r="E23" s="28" t="n"/>
      <c r="F23" s="28" t="n"/>
      <c r="G23" s="32">
        <f>IF(OR($A23="",$E23=""),"",IFERROR(INDEX($N$6:$N$12,MATCH($E23,$M$6:$M$12,0)),""))</f>
        <v/>
      </c>
      <c r="H23" s="29">
        <f>IF(OR($A23="",$B23="",$G23=""),"",WORKDAY($B23,$G23,Feriados))</f>
        <v/>
      </c>
      <c r="I23" s="29" t="n"/>
      <c r="J23" s="30">
        <f>IF($H23="","",IF($I23&lt;&gt;"",IF($I23&lt;=$H23,"Sim","Não"),IF(TODAY()&gt;$H23,"Não","Em aberto")))</f>
        <v/>
      </c>
      <c r="K23" s="28">
        <f>IF($A23="","",IF($I23&lt;&gt;"","Resolvido",IF($H23="","Em aberto",IF($H23&lt;TODAY(),"SLA estourado",IF($H23=TODAY(),"Vence hoje","No prazo")))))</f>
        <v/>
      </c>
      <c r="M23" s="55" t="n">
        <v>46328</v>
      </c>
      <c r="N23" s="56" t="inlineStr">
        <is>
          <t>Finados</t>
        </is>
      </c>
    </row>
    <row r="24" ht="18" customHeight="1">
      <c r="A24" s="30" t="n"/>
      <c r="B24" s="29" t="n"/>
      <c r="C24" s="30" t="n"/>
      <c r="D24" s="28" t="n"/>
      <c r="E24" s="28" t="n"/>
      <c r="F24" s="28" t="n"/>
      <c r="G24" s="32">
        <f>IF(OR($A24="",$E24=""),"",IFERROR(INDEX($N$6:$N$12,MATCH($E24,$M$6:$M$12,0)),""))</f>
        <v/>
      </c>
      <c r="H24" s="29">
        <f>IF(OR($A24="",$B24="",$G24=""),"",WORKDAY($B24,$G24,Feriados))</f>
        <v/>
      </c>
      <c r="I24" s="29" t="n"/>
      <c r="J24" s="30">
        <f>IF($H24="","",IF($I24&lt;&gt;"",IF($I24&lt;=$H24,"Sim","Não"),IF(TODAY()&gt;$H24,"Não","Em aberto")))</f>
        <v/>
      </c>
      <c r="K24" s="28">
        <f>IF($A24="","",IF($I24&lt;&gt;"","Resolvido",IF($H24="","Em aberto",IF($H24&lt;TODAY(),"SLA estourado",IF($H24=TODAY(),"Vence hoje","No prazo")))))</f>
        <v/>
      </c>
      <c r="M24" s="55" t="n">
        <v>46341</v>
      </c>
      <c r="N24" s="56" t="inlineStr">
        <is>
          <t>Proclamação da República</t>
        </is>
      </c>
    </row>
    <row r="25" ht="18" customHeight="1">
      <c r="A25" s="30" t="n"/>
      <c r="B25" s="29" t="n"/>
      <c r="C25" s="30" t="n"/>
      <c r="D25" s="28" t="n"/>
      <c r="E25" s="28" t="n"/>
      <c r="F25" s="28" t="n"/>
      <c r="G25" s="32">
        <f>IF(OR($A25="",$E25=""),"",IFERROR(INDEX($N$6:$N$12,MATCH($E25,$M$6:$M$12,0)),""))</f>
        <v/>
      </c>
      <c r="H25" s="29">
        <f>IF(OR($A25="",$B25="",$G25=""),"",WORKDAY($B25,$G25,Feriados))</f>
        <v/>
      </c>
      <c r="I25" s="29" t="n"/>
      <c r="J25" s="30">
        <f>IF($H25="","",IF($I25&lt;&gt;"",IF($I25&lt;=$H25,"Sim","Não"),IF(TODAY()&gt;$H25,"Não","Em aberto")))</f>
        <v/>
      </c>
      <c r="K25" s="28">
        <f>IF($A25="","",IF($I25&lt;&gt;"","Resolvido",IF($H25="","Em aberto",IF($H25&lt;TODAY(),"SLA estourado",IF($H25=TODAY(),"Vence hoje","No prazo")))))</f>
        <v/>
      </c>
      <c r="M25" s="55" t="n">
        <v>46346</v>
      </c>
      <c r="N25" s="56" t="inlineStr">
        <is>
          <t>Dia Nacional de Zumbi e da Consciência Negra</t>
        </is>
      </c>
    </row>
    <row r="26">
      <c r="M26" s="55" t="n">
        <v>46381</v>
      </c>
      <c r="N26" s="56" t="inlineStr">
        <is>
          <t>Natal</t>
        </is>
      </c>
    </row>
    <row r="27" ht="20" customHeight="1">
      <c r="A27" s="33" t="inlineStr">
        <is>
          <t>Notas e referências legais</t>
        </is>
      </c>
      <c r="M27" s="55" t="n">
        <v>46388</v>
      </c>
      <c r="N27" s="56" t="inlineStr">
        <is>
          <t>Confraternização Universal</t>
        </is>
      </c>
    </row>
    <row r="28" ht="29" customHeight="1">
      <c r="A28" s="34" t="inlineStr">
        <is>
          <t>• O SLA por categoria (em dias úteis) é uma sugestão de política interna — ajuste na tabela ao lado. O prazo usa DIATRABALHO (WORKDAY) a partir da abertura, descontando os feriados cadastrados.</t>
        </is>
      </c>
      <c r="M28" s="55" t="n"/>
      <c r="N28" s="56" t="n"/>
    </row>
    <row r="29" ht="16.5" customHeight="1">
      <c r="A29" s="34" t="inlineStr">
        <is>
          <t>• Dentro do SLA? Sim = resolvido até o prazo; Não = resolvido depois do prazo ou prazo vencido sem solução; Em aberto = ainda dentro do prazo.</t>
        </is>
      </c>
      <c r="M29" s="55" t="n"/>
      <c r="N29" s="56" t="n"/>
    </row>
    <row r="30" ht="16.5" customHeight="1">
      <c r="A30" s="34" t="inlineStr">
        <is>
          <t>• Resumo: % dentro do SLA considera os chamados já resolvidos e os que estouraram o prazo (verde ≥ 90% · amarelo 70–89% · vermelho &lt; 70%).</t>
        </is>
      </c>
      <c r="M30" s="55" t="n"/>
      <c r="N30" s="56" t="n"/>
    </row>
    <row r="31">
      <c r="M31" s="55" t="n"/>
      <c r="N31" s="56" t="n"/>
    </row>
    <row r="32">
      <c r="M32" s="57" t="inlineStr">
        <is>
          <t>Linhas em branco: inclua Sexta-feira da Paixão e feriados estaduais/municipais da filial.</t>
        </is>
      </c>
    </row>
  </sheetData>
  <autoFilter ref="A5:K25"/>
  <mergeCells count="18">
    <mergeCell ref="N31:R31"/>
    <mergeCell ref="N22:R22"/>
    <mergeCell ref="N17:R17"/>
    <mergeCell ref="N20:R20"/>
    <mergeCell ref="N26:R26"/>
    <mergeCell ref="A28:F28"/>
    <mergeCell ref="N21:R21"/>
    <mergeCell ref="N30:R30"/>
    <mergeCell ref="N29:R29"/>
    <mergeCell ref="N25:R25"/>
    <mergeCell ref="N24:R24"/>
    <mergeCell ref="N28:R28"/>
    <mergeCell ref="N18:R18"/>
    <mergeCell ref="N19:R19"/>
    <mergeCell ref="A30:F30"/>
    <mergeCell ref="N27:R27"/>
    <mergeCell ref="A29:F29"/>
    <mergeCell ref="N23:R23"/>
  </mergeCells>
  <conditionalFormatting sqref="R6:R13">
    <cfRule type="expression" priority="1" dxfId="2">
      <formula>AND(ISNUMBER($R6),$R6&gt;=0.9)</formula>
    </cfRule>
    <cfRule type="expression" priority="2" dxfId="1">
      <formula>AND(ISNUMBER($R6),$R6&gt;=0.7,$R6&lt;0.9)</formula>
    </cfRule>
    <cfRule type="expression" priority="3" dxfId="0">
      <formula>AND(ISNUMBER($R6),$R6&lt;0.7)</formula>
    </cfRule>
  </conditionalFormatting>
  <conditionalFormatting sqref="K6:K25">
    <cfRule type="expression" priority="4" dxfId="0">
      <formula>$K6="SLA estourado"</formula>
    </cfRule>
    <cfRule type="expression" priority="5" dxfId="1">
      <formula>$K6="Vence hoje"</formula>
    </cfRule>
    <cfRule type="expression" priority="6" dxfId="2">
      <formula>$K6="Resolvido"</formula>
    </cfRule>
  </conditionalFormatting>
  <conditionalFormatting sqref="J6:J25">
    <cfRule type="expression" priority="7" dxfId="0">
      <formula>$J6="Não"</formula>
    </cfRule>
    <cfRule type="expression" priority="8" dxfId="2">
      <formula>$J6="Sim"</formula>
    </cfRule>
    <cfRule type="expression" priority="9" dxfId="5">
      <formula>$J6="Em aberto"</formula>
    </cfRule>
  </conditionalFormatting>
  <conditionalFormatting sqref="A6:K25">
    <cfRule type="expression" priority="10" dxfId="6">
      <formula>MOD(ROW(),2)=0</formula>
    </cfRule>
  </conditionalFormatting>
  <dataValidations count="2">
    <dataValidation sqref="C6:C25" showDropDown="0" showInputMessage="0" showErrorMessage="1" allowBlank="1" errorTitle="Valor inválido" error="Escolha um valor da lista." type="list">
      <formula1>"Colaborador,Gestor"</formula1>
    </dataValidation>
    <dataValidation sqref="E6:E25" showDropDown="0" showInputMessage="0" showErrorMessage="1" allowBlank="1" errorTitle="Valor inválido" error="Escolha um valor da lista." type="list">
      <formula1>$M$6:$M$12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João Victor Soares</dc:creator>
  <dc:title>Kit de Rotinas de DP — Filial</dc:title>
  <dc:subject>Modelo de portfólio — rotinas de RH/DP (dados fictícios)</dc:subject>
  <dcterms:created xsi:type="dcterms:W3CDTF">2026-10-22T16:03:55Z</dcterms:created>
  <dcterms:modified xsi:type="dcterms:W3CDTF">2026-10-22T16:03:56Z</dcterms:modified>
</cp:coreProperties>
</file>